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2396" windowHeight="9312" activeTab="0"/>
  </bookViews>
  <sheets>
    <sheet name="Calculations" sheetId="1" r:id="rId1"/>
    <sheet name="Debt Graph" sheetId="2" r:id="rId2"/>
    <sheet name="Payment Graph" sheetId="3" r:id="rId3"/>
  </sheets>
  <definedNames>
    <definedName name="_xlnm.Print_Area" localSheetId="0">'Calculations'!$B$2:$N$319</definedName>
    <definedName name="_xlnm.Print_Titles" localSheetId="0">'Calculations'!$18:$18</definedName>
  </definedNames>
  <calcPr fullCalcOnLoad="1" iterate="1" iterateCount="100" iterateDelta="0.001"/>
</workbook>
</file>

<file path=xl/comments1.xml><?xml version="1.0" encoding="utf-8"?>
<comments xmlns="http://schemas.openxmlformats.org/spreadsheetml/2006/main">
  <authors>
    <author>Michael Kelly</author>
  </authors>
  <commentList>
    <comment ref="D18" authorId="0">
      <text>
        <r>
          <rPr>
            <b/>
            <sz val="8"/>
            <rFont val="Tahoma"/>
            <family val="0"/>
          </rPr>
          <t>Enter the nominal interest rate per annum for each year - the true monthly rate is one twelfth of this rate (monthly rests).  Mid-month payments are calculated daily.</t>
        </r>
        <r>
          <rPr>
            <sz val="8"/>
            <rFont val="Tahoma"/>
            <family val="0"/>
          </rPr>
          <t xml:space="preserve">
</t>
        </r>
      </text>
    </comment>
    <comment ref="E18" authorId="0">
      <text>
        <r>
          <rPr>
            <b/>
            <sz val="8"/>
            <rFont val="Tahoma"/>
            <family val="0"/>
          </rPr>
          <t xml:space="preserve">This payment is calculated so as to amortise the previous month's debt to the amount due at the full term end, assuming the current month's interest remains unchanged. </t>
        </r>
      </text>
    </comment>
    <comment ref="F18" authorId="0">
      <text>
        <r>
          <rPr>
            <b/>
            <sz val="8"/>
            <rFont val="Tahoma"/>
            <family val="0"/>
          </rPr>
          <t xml:space="preserve">You can overwrite any of the automatic regular payments for the month end and note any comments to check the minimum is being paid.  Subsequent month's are automatically entered until overwritten. </t>
        </r>
        <r>
          <rPr>
            <sz val="8"/>
            <rFont val="Tahoma"/>
            <family val="0"/>
          </rPr>
          <t xml:space="preserve"> </t>
        </r>
        <r>
          <rPr>
            <b/>
            <sz val="8"/>
            <rFont val="Tahoma"/>
            <family val="2"/>
          </rPr>
          <t>The actual payments are shown in column S.</t>
        </r>
        <r>
          <rPr>
            <sz val="8"/>
            <rFont val="Tahoma"/>
            <family val="0"/>
          </rPr>
          <t xml:space="preserve">
</t>
        </r>
      </text>
    </comment>
    <comment ref="G18" authorId="0">
      <text>
        <r>
          <rPr>
            <b/>
            <sz val="8"/>
            <rFont val="Tahoma"/>
            <family val="0"/>
          </rPr>
          <t>Enter any credit item such salary, bonus, or a single additional payments.  Although assumed to be at the month start, in practise they can be made on any day and interest is adjusted daily.  Credits enjoy interest @ the current mortgage interest rate with no tax deducted so are clearly better than a conventional deposit account.</t>
        </r>
        <r>
          <rPr>
            <sz val="8"/>
            <rFont val="Tahoma"/>
            <family val="0"/>
          </rPr>
          <t xml:space="preserve">
</t>
        </r>
      </text>
    </comment>
    <comment ref="H18" authorId="0">
      <text>
        <r>
          <rPr>
            <b/>
            <sz val="8"/>
            <rFont val="Tahoma"/>
            <family val="0"/>
          </rPr>
          <t xml:space="preserve">Enter any debit item such as a holiday, school fees, tax, utilities or a drawdown.  Although assumed to be all taken on the day specified in the next column, in practise these items can be taken individually on any day and interest is calculated daily. </t>
        </r>
        <r>
          <rPr>
            <sz val="8"/>
            <rFont val="Tahoma"/>
            <family val="0"/>
          </rPr>
          <t xml:space="preserve">
</t>
        </r>
      </text>
    </comment>
    <comment ref="J18" authorId="0">
      <text>
        <r>
          <rPr>
            <b/>
            <sz val="8"/>
            <rFont val="Tahoma"/>
            <family val="0"/>
          </rPr>
          <t>This is calculated taking into account regular monthly payments, credits and debits.  See the graph tabs below for a graphical picture.</t>
        </r>
        <r>
          <rPr>
            <sz val="8"/>
            <rFont val="Tahoma"/>
            <family val="0"/>
          </rPr>
          <t xml:space="preserve">
</t>
        </r>
      </text>
    </comment>
    <comment ref="L18" authorId="0">
      <text>
        <r>
          <rPr>
            <b/>
            <sz val="8"/>
            <rFont val="Tahoma"/>
            <family val="0"/>
          </rPr>
          <t>This is the maximum debt allowed each month and is equivalent to the amount that would be owing for a traditional mortgage of the same amount (and interest rates) with normal monthly payments.</t>
        </r>
        <r>
          <rPr>
            <sz val="8"/>
            <rFont val="Tahoma"/>
            <family val="0"/>
          </rPr>
          <t xml:space="preserve">
</t>
        </r>
      </text>
    </comment>
    <comment ref="M18" authorId="0">
      <text>
        <r>
          <rPr>
            <b/>
            <sz val="8"/>
            <rFont val="Tahoma"/>
            <family val="0"/>
          </rPr>
          <t xml:space="preserve">These comments are calculated to show the reserve amount (ie the amount available for an optional extra drawdown).  Comments may also include any under payments or over credits. </t>
        </r>
        <r>
          <rPr>
            <b/>
            <sz val="8"/>
            <rFont val="Tahoma"/>
            <family val="2"/>
          </rPr>
          <t>The final years adjusted payment is also shown.</t>
        </r>
      </text>
    </comment>
    <comment ref="N18" authorId="0">
      <text>
        <r>
          <rPr>
            <b/>
            <sz val="8"/>
            <rFont val="Tahoma"/>
            <family val="0"/>
          </rPr>
          <t>Optionally enter any comment to explain your credit or debit events.</t>
        </r>
        <r>
          <rPr>
            <sz val="8"/>
            <rFont val="Tahoma"/>
            <family val="0"/>
          </rPr>
          <t xml:space="preserve">
</t>
        </r>
      </text>
    </comment>
    <comment ref="F10" authorId="0">
      <text>
        <r>
          <rPr>
            <b/>
            <sz val="8"/>
            <rFont val="Tahoma"/>
            <family val="0"/>
          </rPr>
          <t>Enter zero for a level payment or any other figure for a percentage increase - say 5% - which operates on the first month of every year (assuming it has not been overwritten).</t>
        </r>
        <r>
          <rPr>
            <sz val="8"/>
            <rFont val="Tahoma"/>
            <family val="0"/>
          </rPr>
          <t xml:space="preserve">
</t>
        </r>
      </text>
    </comment>
    <comment ref="F9" authorId="0">
      <text>
        <r>
          <rPr>
            <b/>
            <sz val="8"/>
            <rFont val="Tahoma"/>
            <family val="0"/>
          </rPr>
          <t>Enter r for a repayment mortgage (debt amortises to zero at the term end) or any other letter (eg i) for interest-only.  Note that this choice affects the traditional mortgage figures and that excess payments may still be used to terminate an interest-only loan early.</t>
        </r>
      </text>
    </comment>
    <comment ref="F8" authorId="0">
      <text>
        <r>
          <rPr>
            <b/>
            <sz val="8"/>
            <rFont val="Tahoma"/>
            <family val="0"/>
          </rPr>
          <t>Enter the maximum term.  In practise, overpayments will reduce the future debt and possibly shorten the life of the mortgage.</t>
        </r>
        <r>
          <rPr>
            <sz val="8"/>
            <rFont val="Tahoma"/>
            <family val="0"/>
          </rPr>
          <t xml:space="preserve">
</t>
        </r>
      </text>
    </comment>
    <comment ref="M9" authorId="0">
      <text>
        <r>
          <rPr>
            <b/>
            <sz val="8"/>
            <rFont val="Tahoma"/>
            <family val="0"/>
          </rPr>
          <t xml:space="preserve">This is the saving achieved over a traditional mortgage (assuming the same interest rate) by making larger or earlier payments or credits before debits.
</t>
        </r>
        <r>
          <rPr>
            <sz val="8"/>
            <rFont val="Tahoma"/>
            <family val="0"/>
          </rPr>
          <t xml:space="preserve">
</t>
        </r>
      </text>
    </comment>
    <comment ref="M10" authorId="0">
      <text>
        <r>
          <rPr>
            <b/>
            <sz val="8"/>
            <rFont val="Tahoma"/>
            <family val="0"/>
          </rPr>
          <t>If the loan terminates early, this shows by how much earlier.</t>
        </r>
        <r>
          <rPr>
            <sz val="8"/>
            <rFont val="Tahoma"/>
            <family val="0"/>
          </rPr>
          <t xml:space="preserve">
</t>
        </r>
      </text>
    </comment>
    <comment ref="M11" authorId="0">
      <text>
        <r>
          <rPr>
            <b/>
            <sz val="8"/>
            <rFont val="Tahoma"/>
            <family val="0"/>
          </rPr>
          <t>The actual term of the mortgage when the amount owing is zero.  An interest-only loan may finish at the full term end, although the debt can be lower than the initial loan.</t>
        </r>
        <r>
          <rPr>
            <sz val="8"/>
            <rFont val="Tahoma"/>
            <family val="0"/>
          </rPr>
          <t xml:space="preserve">
</t>
        </r>
      </text>
    </comment>
    <comment ref="F13" authorId="0">
      <text>
        <r>
          <rPr>
            <b/>
            <sz val="8"/>
            <rFont val="Tahoma"/>
            <family val="0"/>
          </rPr>
          <t>Assume this is immediately credited to the mortgage account, thus saving interest.</t>
        </r>
        <r>
          <rPr>
            <sz val="8"/>
            <rFont val="Tahoma"/>
            <family val="0"/>
          </rPr>
          <t xml:space="preserve">
</t>
        </r>
      </text>
    </comment>
    <comment ref="F14" authorId="0">
      <text>
        <r>
          <rPr>
            <b/>
            <sz val="8"/>
            <rFont val="Tahoma"/>
            <family val="0"/>
          </rPr>
          <t>Assume this is debited from the mortgage account, but later in the month to minimise interest charges.</t>
        </r>
        <r>
          <rPr>
            <sz val="8"/>
            <rFont val="Tahoma"/>
            <family val="0"/>
          </rPr>
          <t xml:space="preserve">
</t>
        </r>
        <r>
          <rPr>
            <b/>
            <sz val="8"/>
            <rFont val="Tahoma"/>
            <family val="2"/>
          </rPr>
          <t>For simplicity, it is all assumed to be taken at the same time on the day specified.</t>
        </r>
      </text>
    </comment>
    <comment ref="I18" authorId="0">
      <text>
        <r>
          <rPr>
            <b/>
            <sz val="8"/>
            <rFont val="Tahoma"/>
            <family val="0"/>
          </rPr>
          <t xml:space="preserve">The day out of 30 nominal days in a month when a debit event is assumed to occur. Zero means debit &amp; credit are made on the same day as the normal payment. </t>
        </r>
        <r>
          <rPr>
            <sz val="8"/>
            <rFont val="Tahoma"/>
            <family val="0"/>
          </rPr>
          <t xml:space="preserve">
</t>
        </r>
      </text>
    </comment>
    <comment ref="M8" authorId="0">
      <text>
        <r>
          <rPr>
            <b/>
            <sz val="8"/>
            <rFont val="Tahoma"/>
            <family val="0"/>
          </rPr>
          <t>This includes any debt reduction over the term for an interest-only mortgage.</t>
        </r>
        <r>
          <rPr>
            <sz val="8"/>
            <rFont val="Tahoma"/>
            <family val="0"/>
          </rPr>
          <t xml:space="preserve">
</t>
        </r>
      </text>
    </comment>
  </commentList>
</comments>
</file>

<file path=xl/sharedStrings.xml><?xml version="1.0" encoding="utf-8"?>
<sst xmlns="http://schemas.openxmlformats.org/spreadsheetml/2006/main" count="47" uniqueCount="47">
  <si>
    <t>Month</t>
  </si>
  <si>
    <t>Comments</t>
  </si>
  <si>
    <t>Year &amp; Month</t>
  </si>
  <si>
    <t>User notes</t>
  </si>
  <si>
    <t>Credit event at start of month</t>
  </si>
  <si>
    <t>Conventional monthly payment</t>
  </si>
  <si>
    <t>Initial mortgage advance</t>
  </si>
  <si>
    <t>Full term in years</t>
  </si>
  <si>
    <t>Maximum month end debt allowed</t>
  </si>
  <si>
    <t>R for Repayment mortgage</t>
  </si>
  <si>
    <t>Initial loan: -</t>
  </si>
  <si>
    <t>Minimum required level payment</t>
  </si>
  <si>
    <t>r</t>
  </si>
  <si>
    <t>Initial loan</t>
  </si>
  <si>
    <t>Interest saving</t>
  </si>
  <si>
    <t>Regular payment increase</t>
  </si>
  <si>
    <t>% every 12 months</t>
  </si>
  <si>
    <t>Time saved</t>
  </si>
  <si>
    <t>Calculated Month end debt</t>
  </si>
  <si>
    <t>CAM total interest</t>
  </si>
  <si>
    <t>Actual regular payment accepted</t>
  </si>
  <si>
    <t>Enter initial mortgage figures - change only blue or red figures</t>
  </si>
  <si>
    <t>Enter interest rates, desired regular payment and then experiment with one off credits and debits.  Click on graph tabs below to see results.</t>
  </si>
  <si>
    <t>Actual CAM Month end debt</t>
  </si>
  <si>
    <t>`</t>
  </si>
  <si>
    <t>Chosen regular monthly payment</t>
  </si>
  <si>
    <t>Int. rate   % pa</t>
  </si>
  <si>
    <t>Debit event at end of month</t>
  </si>
  <si>
    <t>Net monthly income</t>
  </si>
  <si>
    <t>Net monthly expenditure</t>
  </si>
  <si>
    <t xml:space="preserve">Total monthly expenditure </t>
  </si>
  <si>
    <t>D</t>
  </si>
  <si>
    <t>Assumed to occur on beginning of month</t>
  </si>
  <si>
    <t>Consolidated to monthly for simplicity</t>
  </si>
  <si>
    <t>Life of Mortgage</t>
  </si>
  <si>
    <t>Improvements over traditional mortgage</t>
  </si>
  <si>
    <t>Month loan ends</t>
  </si>
  <si>
    <t>Use View, Zoom for the best screen layout.  Start with a new sheet and "save as" the client's name.</t>
  </si>
  <si>
    <t>Move mouse to commented fields (red triangle top right) for helpful text.</t>
  </si>
  <si>
    <t>years (5 to 25 years)</t>
  </si>
  <si>
    <t>and any weekly expenditure</t>
  </si>
  <si>
    <t>Current Account  Mortgage (CAM) Schedule</t>
  </si>
  <si>
    <t>Traditional  total interest</t>
  </si>
  <si>
    <t>Column S</t>
  </si>
  <si>
    <t>See Column S -&gt;</t>
  </si>
  <si>
    <t>Illustrate the advantage of CAM by crediting a mortgage account with either early payments, larger payments or increasing payments</t>
  </si>
  <si>
    <t>Marco Gp Ltd</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</si>
</sst>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0\ "/>
    <numFmt numFmtId="165" formatCode="&quot;£&quot;#,##0.00"/>
    <numFmt numFmtId="166" formatCode="&quot;£&quot;#,##0"/>
    <numFmt numFmtId="167" formatCode="0_ ;[Red]\-0\ "/>
    <numFmt numFmtId="168" formatCode="0.00_ ;[Red]\-0.00\ "/>
  </numFmts>
  <fonts count="60">
    <font>
      <sz val="12"/>
      <name val="Arial"/>
      <family val="0"/>
    </font>
    <font>
      <sz val="10"/>
      <name val="Arial"/>
      <family val="2"/>
    </font>
    <font>
      <sz val="10"/>
      <color indexed="12"/>
      <name val="Arial"/>
      <family val="2"/>
    </font>
    <font>
      <b/>
      <sz val="18"/>
      <color indexed="9"/>
      <name val="Arial"/>
      <family val="2"/>
    </font>
    <font>
      <sz val="10"/>
      <color indexed="9"/>
      <name val="Arial"/>
      <family val="2"/>
    </font>
    <font>
      <sz val="12"/>
      <color indexed="10"/>
      <name val="Arial"/>
      <family val="2"/>
    </font>
    <font>
      <b/>
      <sz val="12"/>
      <name val="Arial"/>
      <family val="2"/>
    </font>
    <font>
      <b/>
      <sz val="12"/>
      <color indexed="12"/>
      <name val="Arial"/>
      <family val="2"/>
    </font>
    <font>
      <sz val="12"/>
      <color indexed="9"/>
      <name val="Arial"/>
      <family val="2"/>
    </font>
    <font>
      <sz val="12"/>
      <color indexed="12"/>
      <name val="Arial"/>
      <family val="2"/>
    </font>
    <font>
      <u val="single"/>
      <sz val="12"/>
      <color indexed="12"/>
      <name val="Arial"/>
      <family val="0"/>
    </font>
    <font>
      <u val="single"/>
      <sz val="12"/>
      <color indexed="36"/>
      <name val="Arial"/>
      <family val="0"/>
    </font>
    <font>
      <sz val="12"/>
      <color indexed="8"/>
      <name val="Arial"/>
      <family val="2"/>
    </font>
    <font>
      <sz val="8"/>
      <name val="Tahoma"/>
      <family val="0"/>
    </font>
    <font>
      <b/>
      <sz val="8"/>
      <name val="Tahoma"/>
      <family val="0"/>
    </font>
    <font>
      <sz val="12"/>
      <color indexed="23"/>
      <name val="Arial"/>
      <family val="2"/>
    </font>
    <font>
      <b/>
      <sz val="12"/>
      <color indexed="9"/>
      <name val="Arial"/>
      <family val="2"/>
    </font>
    <font>
      <b/>
      <sz val="10"/>
      <color indexed="9"/>
      <name val="Arial"/>
      <family val="2"/>
    </font>
    <font>
      <b/>
      <sz val="12"/>
      <color indexed="8"/>
      <name val="Arial"/>
      <family val="2"/>
    </font>
    <font>
      <sz val="10"/>
      <color indexed="8"/>
      <name val="Arial"/>
      <family val="2"/>
    </font>
    <font>
      <b/>
      <sz val="12"/>
      <color indexed="10"/>
      <name val="Arial"/>
      <family val="2"/>
    </font>
    <font>
      <sz val="8"/>
      <name val="Arial"/>
      <family val="2"/>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6"/>
      <color indexed="8"/>
      <name val="Arial"/>
      <family val="0"/>
    </font>
    <font>
      <sz val="11"/>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style="thin"/>
    </border>
    <border>
      <left>
        <color indexed="63"/>
      </left>
      <right>
        <color indexed="63"/>
      </right>
      <top>
        <color indexed="63"/>
      </top>
      <bottom style="thin"/>
    </border>
    <border>
      <left style="double"/>
      <right>
        <color indexed="63"/>
      </right>
      <top style="thin"/>
      <bottom style="thin"/>
    </border>
    <border>
      <left>
        <color indexed="63"/>
      </left>
      <right style="double"/>
      <top style="thin"/>
      <bottom style="thin"/>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thin"/>
    </border>
    <border>
      <left>
        <color indexed="63"/>
      </left>
      <right style="double"/>
      <top>
        <color indexed="63"/>
      </top>
      <bottom style="thin"/>
    </border>
    <border>
      <left style="double"/>
      <right>
        <color indexed="63"/>
      </right>
      <top>
        <color indexed="63"/>
      </top>
      <bottom style="double"/>
    </border>
    <border>
      <left>
        <color indexed="63"/>
      </left>
      <right style="thin"/>
      <top style="double"/>
      <bottom style="thin"/>
    </border>
    <border>
      <left>
        <color indexed="63"/>
      </left>
      <right style="double"/>
      <top style="double"/>
      <bottom>
        <color indexed="63"/>
      </bottom>
    </border>
    <border>
      <left style="double"/>
      <right style="thin"/>
      <top style="double"/>
      <bottom>
        <color indexed="63"/>
      </bottom>
    </border>
    <border>
      <left style="double"/>
      <right>
        <color indexed="63"/>
      </right>
      <top style="thin"/>
      <bottom>
        <color indexed="63"/>
      </bottom>
    </border>
    <border>
      <left style="thin"/>
      <right style="thin"/>
      <top style="double"/>
      <bottom style="thin"/>
    </border>
    <border>
      <left style="thin"/>
      <right style="thin"/>
      <top style="thin"/>
      <bottom style="thin"/>
    </border>
    <border>
      <left style="double"/>
      <right style="thin"/>
      <top style="thin"/>
      <bottom>
        <color indexed="63"/>
      </bottom>
    </border>
    <border>
      <left style="thin"/>
      <right style="thin"/>
      <top style="thin"/>
      <bottom>
        <color indexed="63"/>
      </bottom>
    </border>
    <border>
      <left style="double"/>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double"/>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double"/>
      <top style="double"/>
      <bottom style="thin"/>
    </border>
    <border>
      <left style="thin"/>
      <right style="thin"/>
      <top>
        <color indexed="63"/>
      </top>
      <bottom style="double"/>
    </border>
    <border>
      <left>
        <color indexed="63"/>
      </left>
      <right style="thin"/>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double"/>
    </border>
    <border>
      <left style="double"/>
      <right style="thin"/>
      <top>
        <color indexed="63"/>
      </top>
      <bottom style="thin"/>
    </border>
    <border>
      <left style="double"/>
      <right style="thin"/>
      <top>
        <color indexed="63"/>
      </top>
      <bottom style="double"/>
    </border>
    <border>
      <left>
        <color indexed="63"/>
      </left>
      <right style="thin"/>
      <top style="double"/>
      <bottom>
        <color indexed="63"/>
      </bottom>
    </border>
    <border>
      <left style="thin"/>
      <right style="thin"/>
      <top style="double"/>
      <bottom>
        <color indexed="63"/>
      </bottom>
    </border>
    <border>
      <left style="thin"/>
      <right style="double"/>
      <top style="double"/>
      <bottom>
        <color indexed="63"/>
      </bottom>
    </border>
    <border>
      <left style="thin"/>
      <right style="double"/>
      <top>
        <color indexed="63"/>
      </top>
      <bottom>
        <color indexed="63"/>
      </bottom>
    </border>
    <border>
      <left style="thin"/>
      <right style="double"/>
      <top style="thin"/>
      <bottom>
        <color indexed="63"/>
      </bottom>
    </border>
    <border>
      <left style="thin"/>
      <right style="double"/>
      <top>
        <color indexed="63"/>
      </top>
      <bottom style="double"/>
    </border>
    <border>
      <left style="thin"/>
      <right style="double"/>
      <top>
        <color indexed="63"/>
      </top>
      <bottom style="thin"/>
    </border>
    <border>
      <left style="double"/>
      <right style="thin"/>
      <top style="thin"/>
      <bottom style="thin"/>
    </border>
    <border>
      <left style="double"/>
      <right style="thin"/>
      <top style="double"/>
      <bottom style="thin"/>
    </border>
    <border>
      <left>
        <color indexed="63"/>
      </left>
      <right>
        <color indexed="63"/>
      </right>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1"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0"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8">
    <xf numFmtId="0" fontId="0" fillId="0" borderId="0" xfId="0" applyAlignment="1">
      <alignment/>
    </xf>
    <xf numFmtId="0" fontId="1" fillId="0" borderId="0" xfId="0" applyFont="1" applyAlignment="1">
      <alignment horizontal="center" vertical="center" wrapText="1"/>
    </xf>
    <xf numFmtId="0" fontId="1" fillId="0" borderId="0" xfId="0" applyFont="1" applyAlignment="1">
      <alignment/>
    </xf>
    <xf numFmtId="0" fontId="2" fillId="0" borderId="0" xfId="0" applyFont="1" applyAlignment="1">
      <alignment/>
    </xf>
    <xf numFmtId="0" fontId="3" fillId="33" borderId="10" xfId="0" applyFont="1" applyFill="1" applyBorder="1" applyAlignment="1">
      <alignment horizontal="centerContinuous"/>
    </xf>
    <xf numFmtId="0" fontId="4" fillId="33" borderId="11" xfId="0" applyFont="1" applyFill="1" applyBorder="1" applyAlignment="1">
      <alignment horizontal="centerContinuous"/>
    </xf>
    <xf numFmtId="0" fontId="4" fillId="33" borderId="12" xfId="0" applyFont="1" applyFill="1" applyBorder="1" applyAlignment="1">
      <alignment horizontal="centerContinuous"/>
    </xf>
    <xf numFmtId="0" fontId="0" fillId="0" borderId="0" xfId="0" applyFont="1" applyAlignment="1">
      <alignment/>
    </xf>
    <xf numFmtId="0" fontId="8" fillId="0" borderId="0" xfId="0" applyFont="1" applyAlignment="1">
      <alignment/>
    </xf>
    <xf numFmtId="0" fontId="0" fillId="0" borderId="13" xfId="0" applyFont="1" applyBorder="1" applyAlignment="1">
      <alignment/>
    </xf>
    <xf numFmtId="0" fontId="0" fillId="0" borderId="14" xfId="0" applyFont="1" applyBorder="1" applyAlignment="1">
      <alignment/>
    </xf>
    <xf numFmtId="0" fontId="1" fillId="0" borderId="0" xfId="0" applyFont="1" applyBorder="1" applyAlignment="1">
      <alignment horizontal="center"/>
    </xf>
    <xf numFmtId="0" fontId="1" fillId="0" borderId="15" xfId="0" applyFont="1" applyBorder="1" applyAlignment="1">
      <alignment horizontal="center" vertical="center" wrapText="1"/>
    </xf>
    <xf numFmtId="0" fontId="1" fillId="0" borderId="16" xfId="0" applyFont="1" applyBorder="1" applyAlignment="1">
      <alignment horizontal="center"/>
    </xf>
    <xf numFmtId="166" fontId="1" fillId="0" borderId="17" xfId="0" applyNumberFormat="1" applyFont="1" applyBorder="1" applyAlignment="1">
      <alignment horizontal="center" vertical="center" wrapText="1"/>
    </xf>
    <xf numFmtId="0" fontId="1" fillId="0" borderId="11" xfId="0" applyFont="1" applyBorder="1" applyAlignment="1">
      <alignment horizontal="left" vertical="center"/>
    </xf>
    <xf numFmtId="0" fontId="1" fillId="0" borderId="18" xfId="0" applyFont="1" applyBorder="1" applyAlignment="1">
      <alignment horizontal="left" vertical="center"/>
    </xf>
    <xf numFmtId="165" fontId="1" fillId="0" borderId="19" xfId="0" applyNumberFormat="1" applyFont="1" applyBorder="1" applyAlignment="1">
      <alignment horizontal="center"/>
    </xf>
    <xf numFmtId="0" fontId="1" fillId="0" borderId="20" xfId="0" applyFont="1" applyBorder="1" applyAlignment="1">
      <alignment horizontal="center"/>
    </xf>
    <xf numFmtId="165" fontId="1" fillId="0" borderId="21" xfId="0" applyNumberFormat="1" applyFont="1" applyBorder="1" applyAlignment="1">
      <alignment horizontal="center"/>
    </xf>
    <xf numFmtId="0" fontId="1" fillId="0" borderId="22" xfId="0" applyFont="1" applyBorder="1" applyAlignment="1">
      <alignment horizontal="center"/>
    </xf>
    <xf numFmtId="165" fontId="1" fillId="0" borderId="23" xfId="0" applyNumberFormat="1" applyFont="1" applyBorder="1" applyAlignment="1">
      <alignment horizontal="center"/>
    </xf>
    <xf numFmtId="0" fontId="1" fillId="0" borderId="14" xfId="0" applyFont="1" applyBorder="1" applyAlignment="1">
      <alignment horizontal="center"/>
    </xf>
    <xf numFmtId="0" fontId="1" fillId="0" borderId="13" xfId="0" applyFont="1" applyBorder="1" applyAlignment="1">
      <alignment horizontal="center"/>
    </xf>
    <xf numFmtId="0" fontId="0"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18" xfId="0" applyFont="1" applyBorder="1" applyAlignment="1">
      <alignment/>
    </xf>
    <xf numFmtId="0" fontId="6" fillId="0" borderId="27" xfId="0" applyFont="1" applyBorder="1" applyAlignment="1">
      <alignment horizontal="center"/>
    </xf>
    <xf numFmtId="0" fontId="0" fillId="0" borderId="19" xfId="0" applyFont="1" applyBorder="1" applyAlignment="1">
      <alignment horizontal="center"/>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8" fontId="0" fillId="0" borderId="29" xfId="0" applyNumberFormat="1" applyFont="1" applyBorder="1" applyAlignment="1">
      <alignment horizontal="center" vertical="center" wrapText="1"/>
    </xf>
    <xf numFmtId="0" fontId="6" fillId="0" borderId="30" xfId="0" applyFont="1" applyBorder="1" applyAlignment="1">
      <alignment horizontal="center"/>
    </xf>
    <xf numFmtId="0" fontId="12" fillId="0" borderId="31" xfId="0" applyFont="1" applyBorder="1" applyAlignment="1">
      <alignment horizontal="center"/>
    </xf>
    <xf numFmtId="6" fontId="5" fillId="0" borderId="31" xfId="0" applyNumberFormat="1" applyFont="1" applyBorder="1" applyAlignment="1" applyProtection="1">
      <alignment horizontal="center"/>
      <protection locked="0"/>
    </xf>
    <xf numFmtId="0" fontId="0" fillId="0" borderId="32" xfId="0" applyFont="1" applyBorder="1" applyAlignment="1">
      <alignment horizontal="center"/>
    </xf>
    <xf numFmtId="6" fontId="9" fillId="0" borderId="33" xfId="0" applyNumberFormat="1" applyFont="1" applyBorder="1" applyAlignment="1" applyProtection="1">
      <alignment horizontal="center"/>
      <protection locked="0"/>
    </xf>
    <xf numFmtId="6" fontId="5" fillId="0" borderId="33" xfId="0" applyNumberFormat="1" applyFont="1" applyBorder="1" applyAlignment="1" applyProtection="1">
      <alignment horizontal="center"/>
      <protection locked="0"/>
    </xf>
    <xf numFmtId="1" fontId="12" fillId="0" borderId="33" xfId="0" applyNumberFormat="1" applyFont="1" applyBorder="1" applyAlignment="1" applyProtection="1">
      <alignment horizontal="center"/>
      <protection locked="0"/>
    </xf>
    <xf numFmtId="1" fontId="12" fillId="0" borderId="34" xfId="0" applyNumberFormat="1" applyFont="1" applyBorder="1" applyAlignment="1" applyProtection="1">
      <alignment horizontal="center"/>
      <protection locked="0"/>
    </xf>
    <xf numFmtId="0" fontId="0" fillId="0" borderId="35" xfId="0" applyFont="1" applyBorder="1" applyAlignment="1">
      <alignment horizontal="center" vertical="center" wrapText="1"/>
    </xf>
    <xf numFmtId="166" fontId="0" fillId="0" borderId="10" xfId="0" applyNumberFormat="1" applyFont="1" applyBorder="1" applyAlignment="1">
      <alignment horizontal="center" vertical="center" wrapText="1"/>
    </xf>
    <xf numFmtId="166" fontId="0" fillId="0" borderId="12" xfId="0" applyNumberFormat="1" applyFont="1" applyBorder="1" applyAlignment="1">
      <alignment horizontal="center" vertical="center" wrapText="1"/>
    </xf>
    <xf numFmtId="166" fontId="0" fillId="0" borderId="36" xfId="0" applyNumberFormat="1" applyFont="1" applyBorder="1" applyAlignment="1">
      <alignment horizontal="center"/>
    </xf>
    <xf numFmtId="166" fontId="0" fillId="0" borderId="37" xfId="0" applyNumberFormat="1" applyFont="1" applyBorder="1" applyAlignment="1">
      <alignment horizontal="center"/>
    </xf>
    <xf numFmtId="166" fontId="0" fillId="0" borderId="38" xfId="0" applyNumberFormat="1" applyFont="1" applyBorder="1" applyAlignment="1">
      <alignment horizontal="center"/>
    </xf>
    <xf numFmtId="0" fontId="0" fillId="0" borderId="39" xfId="0" applyFont="1" applyBorder="1" applyAlignment="1">
      <alignment horizontal="center" vertical="center" wrapText="1"/>
    </xf>
    <xf numFmtId="0" fontId="0" fillId="0" borderId="18" xfId="0" applyFont="1" applyBorder="1" applyAlignment="1" applyProtection="1">
      <alignment horizontal="center" vertical="center" wrapText="1"/>
      <protection locked="0"/>
    </xf>
    <xf numFmtId="0" fontId="9" fillId="0" borderId="20" xfId="0" applyFont="1" applyBorder="1" applyAlignment="1" applyProtection="1">
      <alignment/>
      <protection locked="0"/>
    </xf>
    <xf numFmtId="0" fontId="0" fillId="0" borderId="20" xfId="0" applyFont="1" applyBorder="1" applyAlignment="1" applyProtection="1">
      <alignment/>
      <protection locked="0"/>
    </xf>
    <xf numFmtId="0" fontId="0" fillId="0" borderId="22" xfId="0" applyFont="1" applyBorder="1" applyAlignment="1" applyProtection="1">
      <alignment/>
      <protection locked="0"/>
    </xf>
    <xf numFmtId="0" fontId="0" fillId="0" borderId="29" xfId="0" applyFont="1" applyBorder="1" applyAlignment="1">
      <alignment horizontal="left" vertical="center" wrapText="1"/>
    </xf>
    <xf numFmtId="1" fontId="12" fillId="0" borderId="40" xfId="0" applyNumberFormat="1" applyFont="1" applyBorder="1" applyAlignment="1" applyProtection="1">
      <alignment horizontal="center"/>
      <protection locked="0"/>
    </xf>
    <xf numFmtId="166" fontId="0" fillId="0" borderId="41" xfId="0" applyNumberFormat="1" applyFont="1" applyBorder="1" applyAlignment="1">
      <alignment horizontal="center"/>
    </xf>
    <xf numFmtId="8" fontId="9" fillId="34" borderId="33" xfId="0" applyNumberFormat="1" applyFont="1" applyFill="1" applyBorder="1" applyAlignment="1" applyProtection="1">
      <alignment horizontal="center"/>
      <protection locked="0"/>
    </xf>
    <xf numFmtId="8" fontId="9" fillId="34" borderId="31" xfId="0" applyNumberFormat="1" applyFont="1" applyFill="1" applyBorder="1" applyAlignment="1" applyProtection="1">
      <alignment horizontal="center"/>
      <protection locked="0"/>
    </xf>
    <xf numFmtId="0" fontId="1" fillId="35" borderId="42" xfId="0" applyFont="1" applyFill="1" applyBorder="1" applyAlignment="1">
      <alignment/>
    </xf>
    <xf numFmtId="0" fontId="0" fillId="35" borderId="43" xfId="0" applyFont="1" applyFill="1" applyBorder="1" applyAlignment="1">
      <alignment/>
    </xf>
    <xf numFmtId="0" fontId="0" fillId="35" borderId="26" xfId="0" applyFont="1" applyFill="1" applyBorder="1" applyAlignment="1">
      <alignment horizontal="right"/>
    </xf>
    <xf numFmtId="0" fontId="0" fillId="35" borderId="25" xfId="0" applyFont="1" applyFill="1" applyBorder="1" applyAlignment="1">
      <alignment/>
    </xf>
    <xf numFmtId="0" fontId="1" fillId="35" borderId="19" xfId="0" applyFont="1" applyFill="1" applyBorder="1" applyAlignment="1">
      <alignment/>
    </xf>
    <xf numFmtId="0" fontId="0" fillId="35" borderId="0" xfId="0" applyFont="1" applyFill="1" applyBorder="1" applyAlignment="1">
      <alignment/>
    </xf>
    <xf numFmtId="0" fontId="0" fillId="35" borderId="32" xfId="0" applyFont="1" applyFill="1" applyBorder="1" applyAlignment="1">
      <alignment horizontal="right"/>
    </xf>
    <xf numFmtId="0" fontId="0" fillId="35" borderId="20" xfId="0" applyFont="1" applyFill="1" applyBorder="1" applyAlignment="1">
      <alignment/>
    </xf>
    <xf numFmtId="6" fontId="0" fillId="35" borderId="44" xfId="0" applyNumberFormat="1" applyFont="1" applyFill="1" applyBorder="1" applyAlignment="1">
      <alignment horizontal="center"/>
    </xf>
    <xf numFmtId="6" fontId="0" fillId="35" borderId="45" xfId="0" applyNumberFormat="1" applyFont="1" applyFill="1" applyBorder="1" applyAlignment="1">
      <alignment horizontal="center"/>
    </xf>
    <xf numFmtId="6" fontId="0" fillId="35" borderId="46" xfId="0" applyNumberFormat="1" applyFont="1" applyFill="1" applyBorder="1" applyAlignment="1">
      <alignment horizontal="center"/>
    </xf>
    <xf numFmtId="0" fontId="0" fillId="0" borderId="23" xfId="0" applyFont="1" applyBorder="1" applyAlignment="1">
      <alignment/>
    </xf>
    <xf numFmtId="0" fontId="1" fillId="0" borderId="13" xfId="0" applyFont="1" applyBorder="1" applyAlignment="1">
      <alignment/>
    </xf>
    <xf numFmtId="0" fontId="0" fillId="0" borderId="41" xfId="0" applyFont="1" applyBorder="1" applyAlignment="1">
      <alignment horizontal="right"/>
    </xf>
    <xf numFmtId="0" fontId="2" fillId="0" borderId="0" xfId="0" applyFont="1" applyFill="1" applyBorder="1" applyAlignment="1">
      <alignment/>
    </xf>
    <xf numFmtId="166" fontId="15" fillId="0" borderId="29" xfId="0" applyNumberFormat="1" applyFont="1" applyBorder="1" applyAlignment="1">
      <alignment horizontal="center" vertical="center" wrapText="1"/>
    </xf>
    <xf numFmtId="166" fontId="15" fillId="0" borderId="31" xfId="0" applyNumberFormat="1" applyFont="1" applyBorder="1" applyAlignment="1">
      <alignment horizontal="center"/>
    </xf>
    <xf numFmtId="166" fontId="15" fillId="0" borderId="33" xfId="0" applyNumberFormat="1" applyFont="1" applyBorder="1" applyAlignment="1">
      <alignment horizontal="center"/>
    </xf>
    <xf numFmtId="166" fontId="15" fillId="0" borderId="34" xfId="0" applyNumberFormat="1" applyFont="1" applyBorder="1" applyAlignment="1">
      <alignment horizontal="center"/>
    </xf>
    <xf numFmtId="166" fontId="15" fillId="0" borderId="40" xfId="0" applyNumberFormat="1" applyFont="1" applyBorder="1" applyAlignment="1">
      <alignment horizontal="center"/>
    </xf>
    <xf numFmtId="0" fontId="6" fillId="0" borderId="47" xfId="0" applyFont="1" applyBorder="1" applyAlignment="1">
      <alignment horizontal="center"/>
    </xf>
    <xf numFmtId="0" fontId="0" fillId="0" borderId="17" xfId="0" applyFont="1" applyBorder="1" applyAlignment="1">
      <alignment horizontal="left" vertical="center"/>
    </xf>
    <xf numFmtId="8" fontId="9" fillId="34" borderId="40" xfId="0" applyNumberFormat="1" applyFont="1" applyFill="1" applyBorder="1" applyAlignment="1" applyProtection="1">
      <alignment horizontal="center"/>
      <protection locked="0"/>
    </xf>
    <xf numFmtId="8" fontId="16" fillId="33" borderId="10" xfId="0" applyNumberFormat="1" applyFont="1" applyFill="1" applyBorder="1" applyAlignment="1">
      <alignment horizontal="centerContinuous" vertical="justify"/>
    </xf>
    <xf numFmtId="166" fontId="16" fillId="33" borderId="11" xfId="0" applyNumberFormat="1" applyFont="1" applyFill="1" applyBorder="1" applyAlignment="1">
      <alignment horizontal="centerContinuous" vertical="justify"/>
    </xf>
    <xf numFmtId="0" fontId="16" fillId="33" borderId="11" xfId="0" applyFont="1" applyFill="1" applyBorder="1" applyAlignment="1">
      <alignment horizontal="centerContinuous" vertical="justify"/>
    </xf>
    <xf numFmtId="0" fontId="17" fillId="33" borderId="11" xfId="0" applyFont="1" applyFill="1" applyBorder="1" applyAlignment="1">
      <alignment horizontal="centerContinuous" vertical="justify"/>
    </xf>
    <xf numFmtId="0" fontId="17" fillId="33" borderId="12" xfId="0" applyFont="1" applyFill="1" applyBorder="1" applyAlignment="1">
      <alignment horizontal="centerContinuous" vertical="justify"/>
    </xf>
    <xf numFmtId="2" fontId="18" fillId="35" borderId="31" xfId="0" applyNumberFormat="1" applyFont="1" applyFill="1" applyBorder="1" applyAlignment="1" applyProtection="1">
      <alignment horizontal="center"/>
      <protection locked="0"/>
    </xf>
    <xf numFmtId="0" fontId="1" fillId="0" borderId="0" xfId="0" applyFont="1" applyAlignment="1">
      <alignment horizontal="center"/>
    </xf>
    <xf numFmtId="8" fontId="19" fillId="0" borderId="30" xfId="0" applyNumberFormat="1" applyFont="1" applyBorder="1" applyAlignment="1" applyProtection="1">
      <alignment horizontal="center"/>
      <protection/>
    </xf>
    <xf numFmtId="8" fontId="19" fillId="0" borderId="32" xfId="0" applyNumberFormat="1" applyFont="1" applyBorder="1" applyAlignment="1" applyProtection="1">
      <alignment horizontal="center"/>
      <protection/>
    </xf>
    <xf numFmtId="8" fontId="19" fillId="0" borderId="47" xfId="0" applyNumberFormat="1" applyFont="1" applyBorder="1" applyAlignment="1" applyProtection="1">
      <alignment horizontal="center"/>
      <protection/>
    </xf>
    <xf numFmtId="0" fontId="6" fillId="0" borderId="48" xfId="0" applyFont="1" applyBorder="1" applyAlignment="1">
      <alignment horizontal="center"/>
    </xf>
    <xf numFmtId="0" fontId="6" fillId="0" borderId="19" xfId="0" applyFont="1" applyBorder="1" applyAlignment="1">
      <alignment horizontal="center"/>
    </xf>
    <xf numFmtId="0" fontId="6" fillId="0" borderId="0" xfId="0" applyFont="1" applyAlignment="1">
      <alignment/>
    </xf>
    <xf numFmtId="0" fontId="1" fillId="0" borderId="42" xfId="0" applyFont="1" applyBorder="1" applyAlignment="1">
      <alignment/>
    </xf>
    <xf numFmtId="0" fontId="0" fillId="0" borderId="43" xfId="0" applyFont="1" applyBorder="1" applyAlignment="1">
      <alignment/>
    </xf>
    <xf numFmtId="0" fontId="0" fillId="0" borderId="19" xfId="0" applyFont="1" applyBorder="1" applyAlignment="1">
      <alignment/>
    </xf>
    <xf numFmtId="0" fontId="0" fillId="0" borderId="0" xfId="0" applyFont="1" applyBorder="1" applyAlignment="1">
      <alignment/>
    </xf>
    <xf numFmtId="166" fontId="0" fillId="0" borderId="13" xfId="0" applyNumberFormat="1" applyFont="1" applyBorder="1" applyAlignment="1">
      <alignment horizontal="center"/>
    </xf>
    <xf numFmtId="0" fontId="0" fillId="0" borderId="49" xfId="0" applyFont="1" applyBorder="1" applyAlignment="1">
      <alignment horizontal="right"/>
    </xf>
    <xf numFmtId="0" fontId="0" fillId="0" borderId="37" xfId="0" applyFont="1" applyBorder="1" applyAlignment="1">
      <alignment horizontal="right"/>
    </xf>
    <xf numFmtId="0" fontId="0" fillId="0" borderId="41" xfId="0" applyFont="1" applyFill="1" applyBorder="1" applyAlignment="1">
      <alignment horizontal="right"/>
    </xf>
    <xf numFmtId="6" fontId="1" fillId="0" borderId="0" xfId="0" applyNumberFormat="1" applyFont="1" applyBorder="1" applyAlignment="1" applyProtection="1">
      <alignment horizontal="center"/>
      <protection locked="0"/>
    </xf>
    <xf numFmtId="0" fontId="0" fillId="0" borderId="12" xfId="0" applyFont="1" applyBorder="1" applyAlignment="1">
      <alignment horizontal="right" vertical="center"/>
    </xf>
    <xf numFmtId="0" fontId="0" fillId="0" borderId="0" xfId="0" applyFont="1" applyBorder="1" applyAlignment="1">
      <alignment horizontal="right"/>
    </xf>
    <xf numFmtId="0" fontId="1" fillId="0" borderId="0" xfId="0" applyFont="1" applyBorder="1" applyAlignment="1">
      <alignment/>
    </xf>
    <xf numFmtId="0" fontId="7" fillId="0" borderId="0" xfId="0" applyNumberFormat="1" applyFont="1" applyBorder="1" applyAlignment="1" applyProtection="1">
      <alignment horizontal="center"/>
      <protection locked="0"/>
    </xf>
    <xf numFmtId="166" fontId="7" fillId="34" borderId="43" xfId="0" applyNumberFormat="1" applyFont="1" applyFill="1" applyBorder="1" applyAlignment="1" applyProtection="1">
      <alignment horizontal="center"/>
      <protection locked="0"/>
    </xf>
    <xf numFmtId="0" fontId="7" fillId="34" borderId="0" xfId="0" applyFont="1" applyFill="1" applyBorder="1" applyAlignment="1" applyProtection="1">
      <alignment horizontal="center"/>
      <protection locked="0"/>
    </xf>
    <xf numFmtId="0" fontId="7" fillId="34" borderId="13" xfId="0" applyNumberFormat="1" applyFont="1" applyFill="1" applyBorder="1" applyAlignment="1" applyProtection="1">
      <alignment horizontal="center"/>
      <protection locked="0"/>
    </xf>
    <xf numFmtId="166" fontId="7" fillId="34" borderId="0" xfId="0" applyNumberFormat="1" applyFont="1" applyFill="1" applyBorder="1" applyAlignment="1" applyProtection="1">
      <alignment horizontal="center"/>
      <protection locked="0"/>
    </xf>
    <xf numFmtId="0" fontId="0" fillId="0" borderId="0" xfId="0" applyFont="1" applyAlignment="1">
      <alignment horizontal="centerContinuous"/>
    </xf>
    <xf numFmtId="0" fontId="6" fillId="0" borderId="0" xfId="0" applyFont="1" applyAlignment="1">
      <alignment horizontal="centerContinuous"/>
    </xf>
    <xf numFmtId="0" fontId="0" fillId="36" borderId="50" xfId="0" applyFont="1" applyFill="1" applyBorder="1" applyAlignment="1">
      <alignment horizontal="right"/>
    </xf>
    <xf numFmtId="166" fontId="0" fillId="36" borderId="51" xfId="0" applyNumberFormat="1" applyFont="1" applyFill="1" applyBorder="1" applyAlignment="1">
      <alignment horizontal="center"/>
    </xf>
    <xf numFmtId="0" fontId="0" fillId="36" borderId="33" xfId="0" applyFont="1" applyFill="1" applyBorder="1" applyAlignment="1">
      <alignment horizontal="right"/>
    </xf>
    <xf numFmtId="166" fontId="0" fillId="36" borderId="52" xfId="0" applyNumberFormat="1" applyFont="1" applyFill="1" applyBorder="1" applyAlignment="1">
      <alignment horizontal="center"/>
    </xf>
    <xf numFmtId="0" fontId="6" fillId="36" borderId="31" xfId="0" applyFont="1" applyFill="1" applyBorder="1" applyAlignment="1">
      <alignment horizontal="right"/>
    </xf>
    <xf numFmtId="166" fontId="20" fillId="36" borderId="53" xfId="0" applyNumberFormat="1" applyFont="1" applyFill="1" applyBorder="1" applyAlignment="1">
      <alignment horizontal="center"/>
    </xf>
    <xf numFmtId="0" fontId="0" fillId="36" borderId="19" xfId="0" applyFont="1" applyFill="1" applyBorder="1" applyAlignment="1">
      <alignment/>
    </xf>
    <xf numFmtId="0" fontId="0" fillId="36" borderId="0" xfId="0" applyFont="1" applyFill="1" applyBorder="1" applyAlignment="1">
      <alignment/>
    </xf>
    <xf numFmtId="0" fontId="6" fillId="36" borderId="37" xfId="0" applyFont="1" applyFill="1" applyBorder="1" applyAlignment="1">
      <alignment horizontal="right"/>
    </xf>
    <xf numFmtId="0" fontId="20" fillId="36" borderId="52" xfId="0" applyFont="1" applyFill="1" applyBorder="1" applyAlignment="1">
      <alignment horizontal="left"/>
    </xf>
    <xf numFmtId="0" fontId="6" fillId="36" borderId="40" xfId="0" applyFont="1" applyFill="1" applyBorder="1" applyAlignment="1">
      <alignment horizontal="right"/>
    </xf>
    <xf numFmtId="0" fontId="20" fillId="36" borderId="54" xfId="0" applyFont="1" applyFill="1" applyBorder="1" applyAlignment="1">
      <alignment/>
    </xf>
    <xf numFmtId="8" fontId="9" fillId="34" borderId="34" xfId="0" applyNumberFormat="1" applyFont="1" applyFill="1" applyBorder="1" applyAlignment="1" applyProtection="1">
      <alignment horizontal="center"/>
      <protection locked="0"/>
    </xf>
    <xf numFmtId="8" fontId="1" fillId="0" borderId="0" xfId="0" applyNumberFormat="1" applyFont="1" applyAlignment="1">
      <alignment horizontal="right"/>
    </xf>
    <xf numFmtId="0" fontId="1" fillId="36" borderId="49" xfId="0" applyFont="1" applyFill="1" applyBorder="1" applyAlignment="1">
      <alignment/>
    </xf>
    <xf numFmtId="0" fontId="0" fillId="36" borderId="37" xfId="0" applyFont="1" applyFill="1" applyBorder="1" applyAlignment="1">
      <alignment/>
    </xf>
    <xf numFmtId="0" fontId="1" fillId="36" borderId="36" xfId="0" applyFont="1" applyFill="1" applyBorder="1" applyAlignment="1">
      <alignment/>
    </xf>
    <xf numFmtId="0" fontId="0" fillId="36" borderId="41" xfId="0" applyFont="1" applyFill="1" applyBorder="1" applyAlignment="1">
      <alignment/>
    </xf>
    <xf numFmtId="0" fontId="1" fillId="36" borderId="42" xfId="0" applyFont="1" applyFill="1" applyBorder="1" applyAlignment="1">
      <alignment/>
    </xf>
    <xf numFmtId="0" fontId="1" fillId="36" borderId="27" xfId="0" applyFont="1" applyFill="1" applyBorder="1" applyAlignment="1">
      <alignment/>
    </xf>
    <xf numFmtId="0" fontId="0" fillId="36" borderId="23" xfId="0" applyFont="1" applyFill="1" applyBorder="1" applyAlignment="1">
      <alignment/>
    </xf>
    <xf numFmtId="0" fontId="1" fillId="0" borderId="55" xfId="0" applyFont="1" applyBorder="1" applyAlignment="1">
      <alignment horizontal="center"/>
    </xf>
    <xf numFmtId="6" fontId="5" fillId="0" borderId="34" xfId="0" applyNumberFormat="1" applyFont="1" applyBorder="1" applyAlignment="1" applyProtection="1">
      <alignment horizontal="center"/>
      <protection locked="0"/>
    </xf>
    <xf numFmtId="6" fontId="9" fillId="0" borderId="34" xfId="0" applyNumberFormat="1" applyFont="1" applyBorder="1" applyAlignment="1" applyProtection="1">
      <alignment horizontal="center"/>
      <protection locked="0"/>
    </xf>
    <xf numFmtId="166" fontId="1" fillId="0" borderId="16" xfId="0" applyNumberFormat="1" applyFont="1" applyBorder="1" applyAlignment="1">
      <alignment horizontal="center"/>
    </xf>
    <xf numFmtId="6" fontId="1" fillId="0" borderId="16" xfId="0" applyNumberFormat="1" applyFont="1" applyBorder="1" applyAlignment="1" applyProtection="1">
      <alignment horizontal="center"/>
      <protection locked="0"/>
    </xf>
    <xf numFmtId="6" fontId="9" fillId="0" borderId="40" xfId="0" applyNumberFormat="1" applyFont="1" applyBorder="1" applyAlignment="1" applyProtection="1">
      <alignment horizontal="center"/>
      <protection locked="0"/>
    </xf>
    <xf numFmtId="6" fontId="5" fillId="0" borderId="40" xfId="0" applyNumberFormat="1" applyFont="1" applyBorder="1" applyAlignment="1" applyProtection="1">
      <alignment horizontal="center"/>
      <protection locked="0"/>
    </xf>
    <xf numFmtId="167" fontId="9" fillId="0" borderId="31" xfId="0" applyNumberFormat="1" applyFont="1" applyBorder="1" applyAlignment="1" applyProtection="1">
      <alignment horizontal="center"/>
      <protection locked="0"/>
    </xf>
    <xf numFmtId="167" fontId="9" fillId="0" borderId="33" xfId="0" applyNumberFormat="1" applyFont="1" applyBorder="1" applyAlignment="1" applyProtection="1">
      <alignment horizontal="center"/>
      <protection locked="0"/>
    </xf>
    <xf numFmtId="168" fontId="9" fillId="0" borderId="31" xfId="0" applyNumberFormat="1" applyFont="1" applyBorder="1" applyAlignment="1" applyProtection="1">
      <alignment horizontal="center"/>
      <protection locked="0"/>
    </xf>
    <xf numFmtId="168" fontId="9" fillId="0" borderId="33" xfId="0" applyNumberFormat="1" applyFont="1" applyBorder="1" applyAlignment="1" applyProtection="1">
      <alignment horizontal="center"/>
      <protection locked="0"/>
    </xf>
    <xf numFmtId="168" fontId="9" fillId="0" borderId="40" xfId="0" applyNumberFormat="1" applyFont="1" applyBorder="1" applyAlignment="1" applyProtection="1">
      <alignment horizontal="center"/>
      <protection locked="0"/>
    </xf>
    <xf numFmtId="8" fontId="19" fillId="0" borderId="48" xfId="0" applyNumberFormat="1" applyFont="1" applyBorder="1" applyAlignment="1" applyProtection="1">
      <alignment horizontal="center"/>
      <protection/>
    </xf>
    <xf numFmtId="0" fontId="1" fillId="0" borderId="54" xfId="0" applyFont="1" applyBorder="1" applyAlignment="1">
      <alignment horizontal="center"/>
    </xf>
    <xf numFmtId="1" fontId="12" fillId="0" borderId="31" xfId="0" applyNumberFormat="1" applyFont="1" applyBorder="1" applyAlignment="1" applyProtection="1">
      <alignment horizontal="center"/>
      <protection locked="0"/>
    </xf>
    <xf numFmtId="166" fontId="9" fillId="0" borderId="20" xfId="0" applyNumberFormat="1" applyFont="1" applyBorder="1" applyAlignment="1" applyProtection="1">
      <alignment/>
      <protection locked="0"/>
    </xf>
    <xf numFmtId="0" fontId="1" fillId="0" borderId="20" xfId="0" applyFont="1" applyBorder="1" applyAlignment="1">
      <alignment/>
    </xf>
    <xf numFmtId="0" fontId="0" fillId="0" borderId="14" xfId="0" applyFont="1" applyBorder="1" applyAlignment="1" applyProtection="1">
      <alignment/>
      <protection locked="0"/>
    </xf>
    <xf numFmtId="6" fontId="0" fillId="35" borderId="31" xfId="0" applyNumberFormat="1" applyFont="1" applyFill="1" applyBorder="1" applyAlignment="1">
      <alignment horizontal="left"/>
    </xf>
    <xf numFmtId="6" fontId="0" fillId="35" borderId="33" xfId="0" applyNumberFormat="1" applyFont="1" applyFill="1" applyBorder="1" applyAlignment="1">
      <alignment horizontal="left"/>
    </xf>
    <xf numFmtId="6" fontId="0" fillId="35" borderId="34" xfId="0" applyNumberFormat="1" applyFont="1" applyFill="1" applyBorder="1" applyAlignment="1">
      <alignment horizontal="left"/>
    </xf>
    <xf numFmtId="6" fontId="0" fillId="35" borderId="40" xfId="0" applyNumberFormat="1" applyFont="1" applyFill="1" applyBorder="1" applyAlignment="1">
      <alignment horizontal="left"/>
    </xf>
    <xf numFmtId="168" fontId="9" fillId="0" borderId="34" xfId="0" applyNumberFormat="1" applyFont="1" applyBorder="1" applyAlignment="1" applyProtection="1">
      <alignment horizontal="center"/>
      <protection locked="0"/>
    </xf>
    <xf numFmtId="166" fontId="0" fillId="0" borderId="0" xfId="0" applyNumberFormat="1" applyFont="1" applyBorder="1" applyAlignment="1">
      <alignment horizontal="right"/>
    </xf>
    <xf numFmtId="167" fontId="9" fillId="0" borderId="40" xfId="0" applyNumberFormat="1" applyFont="1" applyBorder="1" applyAlignment="1" applyProtection="1">
      <alignment horizontal="center"/>
      <protection locked="0"/>
    </xf>
    <xf numFmtId="0" fontId="2" fillId="0" borderId="0" xfId="0" applyFont="1" applyBorder="1" applyAlignment="1">
      <alignment/>
    </xf>
    <xf numFmtId="8" fontId="12" fillId="0" borderId="31" xfId="0" applyNumberFormat="1" applyFont="1" applyBorder="1" applyAlignment="1" applyProtection="1">
      <alignment horizontal="center"/>
      <protection/>
    </xf>
    <xf numFmtId="8" fontId="12" fillId="0" borderId="33" xfId="0" applyNumberFormat="1" applyFont="1" applyBorder="1" applyAlignment="1" applyProtection="1">
      <alignment horizontal="center"/>
      <protection/>
    </xf>
    <xf numFmtId="8" fontId="12" fillId="0" borderId="40" xfId="0" applyNumberFormat="1" applyFont="1" applyBorder="1" applyAlignment="1" applyProtection="1">
      <alignment horizontal="center"/>
      <protection/>
    </xf>
    <xf numFmtId="8" fontId="21" fillId="0" borderId="29" xfId="0" applyNumberFormat="1" applyFont="1" applyBorder="1" applyAlignment="1">
      <alignment horizontal="center" vertical="center" wrapText="1"/>
    </xf>
    <xf numFmtId="0" fontId="22" fillId="0" borderId="56" xfId="0" applyFont="1" applyBorder="1" applyAlignment="1">
      <alignment horizontal="center" vertical="center"/>
    </xf>
    <xf numFmtId="0" fontId="0" fillId="0" borderId="57" xfId="0" applyFont="1" applyBorder="1" applyAlignment="1">
      <alignment horizontal="center" vertical="center" wrapText="1"/>
    </xf>
    <xf numFmtId="0" fontId="0" fillId="0" borderId="28" xfId="0" applyFont="1" applyBorder="1" applyAlignment="1">
      <alignment horizontal="center" vertical="center" wrapText="1"/>
    </xf>
    <xf numFmtId="0" fontId="1" fillId="0" borderId="58" xfId="0" applyFont="1" applyBorder="1" applyAlignment="1">
      <alignment horizontal="center" vertical="center" wrapText="1"/>
    </xf>
    <xf numFmtId="0" fontId="1" fillId="0" borderId="39"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6">
    <dxf>
      <font>
        <b val="0"/>
        <i val="0"/>
        <color indexed="22"/>
      </font>
      <fill>
        <patternFill>
          <bgColor indexed="9"/>
        </patternFill>
      </fill>
    </dxf>
    <dxf>
      <font>
        <color indexed="9"/>
      </font>
    </dxf>
    <dxf>
      <font>
        <b val="0"/>
        <i val="0"/>
        <color indexed="22"/>
      </font>
    </dxf>
    <dxf>
      <font>
        <b val="0"/>
        <i val="0"/>
        <color indexed="9"/>
      </font>
    </dxf>
    <dxf>
      <font>
        <color indexed="22"/>
      </font>
    </dxf>
    <dxf>
      <font>
        <b val="0"/>
        <i val="0"/>
        <color indexed="9"/>
      </font>
    </dxf>
    <dxf>
      <font>
        <b val="0"/>
        <i val="0"/>
        <color indexed="22"/>
      </font>
    </dxf>
    <dxf>
      <font>
        <b val="0"/>
        <i val="0"/>
        <color indexed="9"/>
      </font>
    </dxf>
    <dxf>
      <font>
        <b val="0"/>
        <i val="0"/>
        <color indexed="22"/>
      </font>
      <fill>
        <patternFill>
          <bgColor indexed="9"/>
        </patternFill>
      </fill>
    </dxf>
    <dxf>
      <font>
        <color indexed="9"/>
      </font>
    </dxf>
    <dxf>
      <font>
        <color indexed="41"/>
      </font>
      <fill>
        <patternFill>
          <bgColor indexed="41"/>
        </patternFill>
      </fill>
    </dxf>
    <dxf>
      <font>
        <color indexed="9"/>
      </font>
      <fill>
        <patternFill>
          <bgColor indexed="9"/>
        </patternFill>
      </fill>
    </dxf>
    <dxf>
      <font>
        <b/>
        <i val="0"/>
        <color indexed="10"/>
      </font>
    </dxf>
    <dxf>
      <font>
        <b/>
        <i val="0"/>
        <color indexed="10"/>
      </font>
    </dxf>
    <dxf>
      <font>
        <color indexed="22"/>
      </font>
    </dxf>
    <dxf>
      <font>
        <color indexed="22"/>
      </font>
    </dxf>
    <dxf>
      <font>
        <color indexed="22"/>
      </font>
    </dxf>
    <dxf>
      <font>
        <color indexed="22"/>
      </font>
    </dxf>
    <dxf>
      <font>
        <b/>
        <i val="0"/>
        <color indexed="9"/>
      </font>
      <fill>
        <patternFill>
          <bgColor indexed="10"/>
        </patternFill>
      </fill>
    </dxf>
    <dxf>
      <font>
        <b/>
        <i val="0"/>
        <color rgb="FFFFFFFF"/>
      </font>
      <fill>
        <patternFill>
          <bgColor rgb="FFFF0000"/>
        </patternFill>
      </fill>
      <border/>
    </dxf>
    <dxf>
      <font>
        <color rgb="FFC0C0C0"/>
      </font>
      <border/>
    </dxf>
    <dxf>
      <font>
        <b/>
        <i val="0"/>
        <color rgb="FFFF0000"/>
      </font>
      <border/>
    </dxf>
    <dxf>
      <font>
        <color rgb="FFFFFFFF"/>
      </font>
      <fill>
        <patternFill>
          <bgColor rgb="FFFFFFFF"/>
        </patternFill>
      </fill>
      <border/>
    </dxf>
    <dxf>
      <font>
        <color rgb="FFCCFFFF"/>
      </font>
      <fill>
        <patternFill>
          <bgColor rgb="FFCCFFFF"/>
        </patternFill>
      </fill>
      <border/>
    </dxf>
    <dxf>
      <font>
        <color rgb="FFFFFFFF"/>
      </font>
      <border/>
    </dxf>
    <dxf>
      <font>
        <b val="0"/>
        <i val="0"/>
        <color rgb="FFC0C0C0"/>
      </font>
      <fill>
        <patternFill>
          <bgColor rgb="FFFFFF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Debt over Time</a:t>
            </a:r>
          </a:p>
        </c:rich>
      </c:tx>
      <c:layout>
        <c:manualLayout>
          <c:xMode val="factor"/>
          <c:yMode val="factor"/>
          <c:x val="-0.00325"/>
          <c:y val="0"/>
        </c:manualLayout>
      </c:layout>
      <c:spPr>
        <a:noFill/>
        <a:ln>
          <a:noFill/>
        </a:ln>
      </c:spPr>
    </c:title>
    <c:plotArea>
      <c:layout>
        <c:manualLayout>
          <c:xMode val="edge"/>
          <c:yMode val="edge"/>
          <c:x val="0.046"/>
          <c:y val="0.115"/>
          <c:w val="0.90075"/>
          <c:h val="0.80825"/>
        </c:manualLayout>
      </c:layout>
      <c:lineChart>
        <c:grouping val="standard"/>
        <c:varyColors val="0"/>
        <c:ser>
          <c:idx val="0"/>
          <c:order val="0"/>
          <c:tx>
            <c:v>Actual CAM Debt</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Calculations!$B$19:$B$319</c:f>
              <c:numCache>
                <c:ptCount val="300"/>
                <c:pt idx="1">
                  <c:v>1</c:v>
                </c:pt>
                <c:pt idx="12">
                  <c:v>1</c:v>
                </c:pt>
                <c:pt idx="13">
                  <c:v>2</c:v>
                </c:pt>
                <c:pt idx="24">
                  <c:v>2</c:v>
                </c:pt>
                <c:pt idx="25">
                  <c:v>3</c:v>
                </c:pt>
                <c:pt idx="36">
                  <c:v>3</c:v>
                </c:pt>
                <c:pt idx="37">
                  <c:v>4</c:v>
                </c:pt>
                <c:pt idx="48">
                  <c:v>4</c:v>
                </c:pt>
                <c:pt idx="49">
                  <c:v>5</c:v>
                </c:pt>
                <c:pt idx="60">
                  <c:v>5</c:v>
                </c:pt>
                <c:pt idx="61">
                  <c:v>6</c:v>
                </c:pt>
                <c:pt idx="72">
                  <c:v>6</c:v>
                </c:pt>
                <c:pt idx="73">
                  <c:v>7</c:v>
                </c:pt>
                <c:pt idx="84">
                  <c:v>7</c:v>
                </c:pt>
                <c:pt idx="85">
                  <c:v>8</c:v>
                </c:pt>
                <c:pt idx="96">
                  <c:v>8</c:v>
                </c:pt>
                <c:pt idx="97">
                  <c:v>9</c:v>
                </c:pt>
                <c:pt idx="108">
                  <c:v>9</c:v>
                </c:pt>
                <c:pt idx="109">
                  <c:v>10</c:v>
                </c:pt>
                <c:pt idx="120">
                  <c:v>10</c:v>
                </c:pt>
                <c:pt idx="121">
                  <c:v>11</c:v>
                </c:pt>
                <c:pt idx="132">
                  <c:v>11</c:v>
                </c:pt>
                <c:pt idx="133">
                  <c:v>12</c:v>
                </c:pt>
                <c:pt idx="144">
                  <c:v>12</c:v>
                </c:pt>
                <c:pt idx="145">
                  <c:v>13</c:v>
                </c:pt>
                <c:pt idx="156">
                  <c:v>13</c:v>
                </c:pt>
                <c:pt idx="157">
                  <c:v>14</c:v>
                </c:pt>
                <c:pt idx="168">
                  <c:v>14</c:v>
                </c:pt>
                <c:pt idx="169">
                  <c:v>15</c:v>
                </c:pt>
                <c:pt idx="180">
                  <c:v>15</c:v>
                </c:pt>
                <c:pt idx="181">
                  <c:v>16</c:v>
                </c:pt>
                <c:pt idx="192">
                  <c:v>16</c:v>
                </c:pt>
                <c:pt idx="193">
                  <c:v>17</c:v>
                </c:pt>
                <c:pt idx="204">
                  <c:v>17</c:v>
                </c:pt>
                <c:pt idx="205">
                  <c:v>18</c:v>
                </c:pt>
                <c:pt idx="216">
                  <c:v>18</c:v>
                </c:pt>
                <c:pt idx="217">
                  <c:v>19</c:v>
                </c:pt>
                <c:pt idx="228">
                  <c:v>19</c:v>
                </c:pt>
                <c:pt idx="229">
                  <c:v>20</c:v>
                </c:pt>
                <c:pt idx="240">
                  <c:v>20</c:v>
                </c:pt>
                <c:pt idx="241">
                  <c:v>21</c:v>
                </c:pt>
                <c:pt idx="252">
                  <c:v>21</c:v>
                </c:pt>
                <c:pt idx="253">
                  <c:v>22</c:v>
                </c:pt>
                <c:pt idx="264">
                  <c:v>22</c:v>
                </c:pt>
                <c:pt idx="265">
                  <c:v>23</c:v>
                </c:pt>
                <c:pt idx="276">
                  <c:v>23</c:v>
                </c:pt>
                <c:pt idx="277">
                  <c:v>24</c:v>
                </c:pt>
                <c:pt idx="288">
                  <c:v>24</c:v>
                </c:pt>
                <c:pt idx="289">
                  <c:v>25</c:v>
                </c:pt>
              </c:numCache>
            </c:numRef>
          </c:cat>
          <c:val>
            <c:numRef>
              <c:f>Calculations!$J$20:$J$319</c:f>
              <c:numCache>
                <c:ptCount val="300"/>
                <c:pt idx="0">
                  <c:v>99687.6177310478</c:v>
                </c:pt>
                <c:pt idx="1">
                  <c:v>99373.41323219336</c:v>
                </c:pt>
                <c:pt idx="2">
                  <c:v>99057.37587376227</c:v>
                </c:pt>
                <c:pt idx="3">
                  <c:v>98739.49496407367</c:v>
                </c:pt>
                <c:pt idx="4">
                  <c:v>98419.75974907856</c:v>
                </c:pt>
                <c:pt idx="5">
                  <c:v>98098.15941199598</c:v>
                </c:pt>
                <c:pt idx="6">
                  <c:v>97774.68307294708</c:v>
                </c:pt>
                <c:pt idx="7">
                  <c:v>97449.31978858706</c:v>
                </c:pt>
                <c:pt idx="8">
                  <c:v>97122.05855173494</c:v>
                </c:pt>
                <c:pt idx="9">
                  <c:v>96792.88829100119</c:v>
                </c:pt>
                <c:pt idx="10">
                  <c:v>96461.79787041315</c:v>
                </c:pt>
                <c:pt idx="11">
                  <c:v>96128.77608903835</c:v>
                </c:pt>
                <c:pt idx="12">
                  <c:v>95793.81168060553</c:v>
                </c:pt>
                <c:pt idx="13">
                  <c:v>95456.89331312352</c:v>
                </c:pt>
                <c:pt idx="14">
                  <c:v>95118.00958849787</c:v>
                </c:pt>
                <c:pt idx="15">
                  <c:v>94777.14904214523</c:v>
                </c:pt>
                <c:pt idx="16">
                  <c:v>94434.30014260554</c:v>
                </c:pt>
                <c:pt idx="17">
                  <c:v>94089.45129115187</c:v>
                </c:pt>
                <c:pt idx="18">
                  <c:v>93742.59082139804</c:v>
                </c:pt>
                <c:pt idx="19">
                  <c:v>93393.70699890399</c:v>
                </c:pt>
                <c:pt idx="20">
                  <c:v>93042.78802077872</c:v>
                </c:pt>
                <c:pt idx="21">
                  <c:v>92689.82201528105</c:v>
                </c:pt>
                <c:pt idx="22">
                  <c:v>92334.79704141799</c:v>
                </c:pt>
                <c:pt idx="23">
                  <c:v>91977.70108854072</c:v>
                </c:pt>
                <c:pt idx="24">
                  <c:v>91618.52207593834</c:v>
                </c:pt>
                <c:pt idx="25">
                  <c:v>91257.24785242911</c:v>
                </c:pt>
                <c:pt idx="26">
                  <c:v>90893.8661959494</c:v>
                </c:pt>
                <c:pt idx="27">
                  <c:v>90528.36481314023</c:v>
                </c:pt>
                <c:pt idx="28">
                  <c:v>90160.73133893133</c:v>
                </c:pt>
                <c:pt idx="29">
                  <c:v>89790.9533361229</c:v>
                </c:pt>
                <c:pt idx="30">
                  <c:v>89419.01829496474</c:v>
                </c:pt>
                <c:pt idx="31">
                  <c:v>89044.91363273317</c:v>
                </c:pt>
                <c:pt idx="32">
                  <c:v>88668.62669330524</c:v>
                </c:pt>
                <c:pt idx="33">
                  <c:v>88290.14474673064</c:v>
                </c:pt>
                <c:pt idx="34">
                  <c:v>87909.45498880102</c:v>
                </c:pt>
                <c:pt idx="35">
                  <c:v>87526.54454061681</c:v>
                </c:pt>
                <c:pt idx="36">
                  <c:v>87141.40044815154</c:v>
                </c:pt>
                <c:pt idx="37">
                  <c:v>86754.00968181355</c:v>
                </c:pt>
                <c:pt idx="38">
                  <c:v>86364.35913600525</c:v>
                </c:pt>
                <c:pt idx="39">
                  <c:v>85972.43562867974</c:v>
                </c:pt>
                <c:pt idx="40">
                  <c:v>85578.22590089483</c:v>
                </c:pt>
                <c:pt idx="41">
                  <c:v>85181.71661636452</c:v>
                </c:pt>
                <c:pt idx="42">
                  <c:v>84782.89436100777</c:v>
                </c:pt>
                <c:pt idx="43">
                  <c:v>84381.74564249477</c:v>
                </c:pt>
                <c:pt idx="44">
                  <c:v>83978.25688979046</c:v>
                </c:pt>
                <c:pt idx="45">
                  <c:v>83572.41445269536</c:v>
                </c:pt>
                <c:pt idx="46">
                  <c:v>83164.20460138387</c:v>
                </c:pt>
                <c:pt idx="47">
                  <c:v>82753.61352593973</c:v>
                </c:pt>
                <c:pt idx="48">
                  <c:v>82340.62733588883</c:v>
                </c:pt>
                <c:pt idx="49">
                  <c:v>81925.2320597293</c:v>
                </c:pt>
                <c:pt idx="50">
                  <c:v>81507.41364445885</c:v>
                </c:pt>
                <c:pt idx="51">
                  <c:v>81087.15795509932</c:v>
                </c:pt>
                <c:pt idx="52">
                  <c:v>80664.45077421852</c:v>
                </c:pt>
                <c:pt idx="53">
                  <c:v>80239.27780144925</c:v>
                </c:pt>
                <c:pt idx="54">
                  <c:v>79811.62465300549</c:v>
                </c:pt>
                <c:pt idx="55">
                  <c:v>79381.47686119581</c:v>
                </c:pt>
                <c:pt idx="56">
                  <c:v>78948.81987393391</c:v>
                </c:pt>
                <c:pt idx="57">
                  <c:v>78513.63905424632</c:v>
                </c:pt>
                <c:pt idx="58">
                  <c:v>78075.91967977722</c:v>
                </c:pt>
                <c:pt idx="59">
                  <c:v>77635.64694229038</c:v>
                </c:pt>
                <c:pt idx="60">
                  <c:v>77192.80594716819</c:v>
                </c:pt>
                <c:pt idx="61">
                  <c:v>76747.3817129078</c:v>
                </c:pt>
                <c:pt idx="62">
                  <c:v>76299.35917061422</c:v>
                </c:pt>
                <c:pt idx="63">
                  <c:v>75848.72316349059</c:v>
                </c:pt>
                <c:pt idx="64">
                  <c:v>75395.45844632541</c:v>
                </c:pt>
                <c:pt idx="65">
                  <c:v>74939.54968497677</c:v>
                </c:pt>
                <c:pt idx="66">
                  <c:v>74480.98145585359</c:v>
                </c:pt>
                <c:pt idx="67">
                  <c:v>74019.73824539386</c:v>
                </c:pt>
                <c:pt idx="68">
                  <c:v>73555.80444953979</c:v>
                </c:pt>
                <c:pt idx="69">
                  <c:v>73089.1643732099</c:v>
                </c:pt>
                <c:pt idx="70">
                  <c:v>72619.80222976809</c:v>
                </c:pt>
                <c:pt idx="71">
                  <c:v>72147.70214048952</c:v>
                </c:pt>
                <c:pt idx="72">
                  <c:v>71672.8481340235</c:v>
                </c:pt>
                <c:pt idx="73">
                  <c:v>71195.22414585309</c:v>
                </c:pt>
                <c:pt idx="74">
                  <c:v>70714.81401775169</c:v>
                </c:pt>
                <c:pt idx="75">
                  <c:v>70231.60149723636</c:v>
                </c:pt>
                <c:pt idx="76">
                  <c:v>69745.57023701804</c:v>
                </c:pt>
                <c:pt idx="77">
                  <c:v>69256.70379444843</c:v>
                </c:pt>
                <c:pt idx="78">
                  <c:v>68764.98563096384</c:v>
                </c:pt>
                <c:pt idx="79">
                  <c:v>68270.39911152559</c:v>
                </c:pt>
                <c:pt idx="80">
                  <c:v>67772.9275040573</c:v>
                </c:pt>
                <c:pt idx="81">
                  <c:v>67272.55397887877</c:v>
                </c:pt>
                <c:pt idx="82">
                  <c:v>66769.2616081367</c:v>
                </c:pt>
                <c:pt idx="83">
                  <c:v>66263.03336523197</c:v>
                </c:pt>
                <c:pt idx="84">
                  <c:v>65753.85212424363</c:v>
                </c:pt>
                <c:pt idx="85">
                  <c:v>65241.70065934951</c:v>
                </c:pt>
                <c:pt idx="86">
                  <c:v>64726.56164424351</c:v>
                </c:pt>
                <c:pt idx="87">
                  <c:v>64208.4176515494</c:v>
                </c:pt>
                <c:pt idx="88">
                  <c:v>63687.251152231234</c:v>
                </c:pt>
                <c:pt idx="89">
                  <c:v>63163.04451500038</c:v>
                </c:pt>
                <c:pt idx="90">
                  <c:v>62635.78000571901</c:v>
                </c:pt>
                <c:pt idx="91">
                  <c:v>62105.43978680017</c:v>
                </c:pt>
                <c:pt idx="92">
                  <c:v>61572.0059166043</c:v>
                </c:pt>
                <c:pt idx="93">
                  <c:v>61035.46034883229</c:v>
                </c:pt>
                <c:pt idx="94">
                  <c:v>60495.784931914946</c:v>
                </c:pt>
                <c:pt idx="95">
                  <c:v>59952.961408398915</c:v>
                </c:pt>
                <c:pt idx="96">
                  <c:v>59406.97141432904</c:v>
                </c:pt>
                <c:pt idx="97">
                  <c:v>58857.79647862709</c:v>
                </c:pt>
                <c:pt idx="98">
                  <c:v>58305.41802246688</c:v>
                </c:pt>
                <c:pt idx="99">
                  <c:v>57749.817358645734</c:v>
                </c:pt>
                <c:pt idx="100">
                  <c:v>57190.9756909523</c:v>
                </c:pt>
                <c:pt idx="101">
                  <c:v>56628.87411353065</c:v>
                </c:pt>
                <c:pt idx="102">
                  <c:v>56063.49361024071</c:v>
                </c:pt>
                <c:pt idx="103">
                  <c:v>55494.81505401491</c:v>
                </c:pt>
                <c:pt idx="104">
                  <c:v>54922.81920621113</c:v>
                </c:pt>
                <c:pt idx="105">
                  <c:v>54347.48671596182</c:v>
                </c:pt>
                <c:pt idx="106">
                  <c:v>53768.7981195194</c:v>
                </c:pt>
                <c:pt idx="107">
                  <c:v>53186.73383959773</c:v>
                </c:pt>
                <c:pt idx="108">
                  <c:v>52601.274184709844</c:v>
                </c:pt>
                <c:pt idx="109">
                  <c:v>52012.399348501785</c:v>
                </c:pt>
                <c:pt idx="110">
                  <c:v>51420.08940908251</c:v>
                </c:pt>
                <c:pt idx="111">
                  <c:v>50824.324328349954</c:v>
                </c:pt>
                <c:pt idx="112">
                  <c:v>50225.08395131313</c:v>
                </c:pt>
                <c:pt idx="113">
                  <c:v>49622.348005410255</c:v>
                </c:pt>
                <c:pt idx="114">
                  <c:v>49016.09609982294</c:v>
                </c:pt>
                <c:pt idx="115">
                  <c:v>48406.30772478638</c:v>
                </c:pt>
                <c:pt idx="116">
                  <c:v>47792.96225089543</c:v>
                </c:pt>
                <c:pt idx="117">
                  <c:v>47176.03892840678</c:v>
                </c:pt>
                <c:pt idx="118">
                  <c:v>46555.51688653695</c:v>
                </c:pt>
                <c:pt idx="119">
                  <c:v>45931.37513275621</c:v>
                </c:pt>
                <c:pt idx="120">
                  <c:v>45303.59255207842</c:v>
                </c:pt>
                <c:pt idx="121">
                  <c:v>44672.147906346676</c:v>
                </c:pt>
                <c:pt idx="122">
                  <c:v>44037.01983351483</c:v>
                </c:pt>
                <c:pt idx="123">
                  <c:v>43398.1868469248</c:v>
                </c:pt>
                <c:pt idx="124">
                  <c:v>42755.62733457966</c:v>
                </c:pt>
                <c:pt idx="125">
                  <c:v>42109.319558412506</c:v>
                </c:pt>
                <c:pt idx="126">
                  <c:v>41459.24165355104</c:v>
                </c:pt>
                <c:pt idx="127">
                  <c:v>40805.371627577886</c:v>
                </c:pt>
                <c:pt idx="128">
                  <c:v>40147.687359786556</c:v>
                </c:pt>
                <c:pt idx="129">
                  <c:v>39486.166600433105</c:v>
                </c:pt>
                <c:pt idx="130">
                  <c:v>38820.78696998343</c:v>
                </c:pt>
                <c:pt idx="131">
                  <c:v>38151.52595835613</c:v>
                </c:pt>
                <c:pt idx="132">
                  <c:v>37478.360924161</c:v>
                </c:pt>
                <c:pt idx="133">
                  <c:v>36801.26909393307</c:v>
                </c:pt>
                <c:pt idx="134">
                  <c:v>36120.227561362146</c:v>
                </c:pt>
                <c:pt idx="135">
                  <c:v>35435.21328651789</c:v>
                </c:pt>
                <c:pt idx="136">
                  <c:v>34746.20309507036</c:v>
                </c:pt>
                <c:pt idx="137">
                  <c:v>34053.17367750607</c:v>
                </c:pt>
                <c:pt idx="138">
                  <c:v>33356.10158833931</c:v>
                </c:pt>
                <c:pt idx="139">
                  <c:v>32654.963245319086</c:v>
                </c:pt>
                <c:pt idx="140">
                  <c:v>31949.734928631242</c:v>
                </c:pt>
                <c:pt idx="141">
                  <c:v>31240.392780096052</c:v>
                </c:pt>
                <c:pt idx="142">
                  <c:v>30526.912802361072</c:v>
                </c:pt>
                <c:pt idx="143">
                  <c:v>29809.270858089305</c:v>
                </c:pt>
                <c:pt idx="144">
                  <c:v>29087.44266914262</c:v>
                </c:pt>
                <c:pt idx="145">
                  <c:v>28361.40381576041</c:v>
                </c:pt>
                <c:pt idx="146">
                  <c:v>27631.129735733473</c:v>
                </c:pt>
                <c:pt idx="147">
                  <c:v>26896.595723573046</c:v>
                </c:pt>
                <c:pt idx="148">
                  <c:v>26157.776929675016</c:v>
                </c:pt>
                <c:pt idx="149">
                  <c:v>25414.648359479248</c:v>
                </c:pt>
                <c:pt idx="150">
                  <c:v>24667.184872624002</c:v>
                </c:pt>
                <c:pt idx="151">
                  <c:v>23915.361182095436</c:v>
                </c:pt>
                <c:pt idx="152">
                  <c:v>23159.15185337212</c:v>
                </c:pt>
                <c:pt idx="153">
                  <c:v>22398.531303564585</c:v>
                </c:pt>
                <c:pt idx="154">
                  <c:v>21633.47380054984</c:v>
                </c:pt>
                <c:pt idx="155">
                  <c:v>20863.953462100842</c:v>
                </c:pt>
                <c:pt idx="156">
                  <c:v>20089.94425501089</c:v>
                </c:pt>
                <c:pt idx="157">
                  <c:v>19311.419994212913</c:v>
                </c:pt>
                <c:pt idx="158">
                  <c:v>18528.354341893617</c:v>
                </c:pt>
                <c:pt idx="159">
                  <c:v>17740.720806602454</c:v>
                </c:pt>
                <c:pt idx="160">
                  <c:v>16948.49274235543</c:v>
                </c:pt>
                <c:pt idx="161">
                  <c:v>16151.643347733629</c:v>
                </c:pt>
                <c:pt idx="162">
                  <c:v>15350.145664976535</c:v>
                </c:pt>
                <c:pt idx="163">
                  <c:v>14543.972579070025</c:v>
                </c:pt>
                <c:pt idx="164">
                  <c:v>13733.09681682906</c:v>
                </c:pt>
                <c:pt idx="165">
                  <c:v>12917.490945975023</c:v>
                </c:pt>
                <c:pt idx="166">
                  <c:v>12097.12737420767</c:v>
                </c:pt>
                <c:pt idx="167">
                  <c:v>11271.978348271674</c:v>
                </c:pt>
                <c:pt idx="168">
                  <c:v>10442.015953017719</c:v>
                </c:pt>
                <c:pt idx="169">
                  <c:v>9607.212110458117</c:v>
                </c:pt>
                <c:pt idx="170">
                  <c:v>8767.538578816915</c:v>
                </c:pt>
                <c:pt idx="171">
                  <c:v>7922.966951574474</c:v>
                </c:pt>
                <c:pt idx="172">
                  <c:v>7073.468656506451</c:v>
                </c:pt>
                <c:pt idx="173">
                  <c:v>6219.014954717199</c:v>
                </c:pt>
                <c:pt idx="174">
                  <c:v>5359.576939667509</c:v>
                </c:pt>
                <c:pt idx="175">
                  <c:v>4495.125536196696</c:v>
                </c:pt>
                <c:pt idx="176">
                  <c:v>3625.63149953897</c:v>
                </c:pt>
                <c:pt idx="177">
                  <c:v>2751.0654143340735</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numCache>
            </c:numRef>
          </c:val>
          <c:smooth val="0"/>
        </c:ser>
        <c:ser>
          <c:idx val="1"/>
          <c:order val="1"/>
          <c:tx>
            <c:v>Traditional Debt</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Calculations!$B$19:$B$319</c:f>
              <c:numCache>
                <c:ptCount val="300"/>
                <c:pt idx="1">
                  <c:v>1</c:v>
                </c:pt>
                <c:pt idx="12">
                  <c:v>1</c:v>
                </c:pt>
                <c:pt idx="13">
                  <c:v>2</c:v>
                </c:pt>
                <c:pt idx="24">
                  <c:v>2</c:v>
                </c:pt>
                <c:pt idx="25">
                  <c:v>3</c:v>
                </c:pt>
                <c:pt idx="36">
                  <c:v>3</c:v>
                </c:pt>
                <c:pt idx="37">
                  <c:v>4</c:v>
                </c:pt>
                <c:pt idx="48">
                  <c:v>4</c:v>
                </c:pt>
                <c:pt idx="49">
                  <c:v>5</c:v>
                </c:pt>
                <c:pt idx="60">
                  <c:v>5</c:v>
                </c:pt>
                <c:pt idx="61">
                  <c:v>6</c:v>
                </c:pt>
                <c:pt idx="72">
                  <c:v>6</c:v>
                </c:pt>
                <c:pt idx="73">
                  <c:v>7</c:v>
                </c:pt>
                <c:pt idx="84">
                  <c:v>7</c:v>
                </c:pt>
                <c:pt idx="85">
                  <c:v>8</c:v>
                </c:pt>
                <c:pt idx="96">
                  <c:v>8</c:v>
                </c:pt>
                <c:pt idx="97">
                  <c:v>9</c:v>
                </c:pt>
                <c:pt idx="108">
                  <c:v>9</c:v>
                </c:pt>
                <c:pt idx="109">
                  <c:v>10</c:v>
                </c:pt>
                <c:pt idx="120">
                  <c:v>10</c:v>
                </c:pt>
                <c:pt idx="121">
                  <c:v>11</c:v>
                </c:pt>
                <c:pt idx="132">
                  <c:v>11</c:v>
                </c:pt>
                <c:pt idx="133">
                  <c:v>12</c:v>
                </c:pt>
                <c:pt idx="144">
                  <c:v>12</c:v>
                </c:pt>
                <c:pt idx="145">
                  <c:v>13</c:v>
                </c:pt>
                <c:pt idx="156">
                  <c:v>13</c:v>
                </c:pt>
                <c:pt idx="157">
                  <c:v>14</c:v>
                </c:pt>
                <c:pt idx="168">
                  <c:v>14</c:v>
                </c:pt>
                <c:pt idx="169">
                  <c:v>15</c:v>
                </c:pt>
                <c:pt idx="180">
                  <c:v>15</c:v>
                </c:pt>
                <c:pt idx="181">
                  <c:v>16</c:v>
                </c:pt>
                <c:pt idx="192">
                  <c:v>16</c:v>
                </c:pt>
                <c:pt idx="193">
                  <c:v>17</c:v>
                </c:pt>
                <c:pt idx="204">
                  <c:v>17</c:v>
                </c:pt>
                <c:pt idx="205">
                  <c:v>18</c:v>
                </c:pt>
                <c:pt idx="216">
                  <c:v>18</c:v>
                </c:pt>
                <c:pt idx="217">
                  <c:v>19</c:v>
                </c:pt>
                <c:pt idx="228">
                  <c:v>19</c:v>
                </c:pt>
                <c:pt idx="229">
                  <c:v>20</c:v>
                </c:pt>
                <c:pt idx="240">
                  <c:v>20</c:v>
                </c:pt>
                <c:pt idx="241">
                  <c:v>21</c:v>
                </c:pt>
                <c:pt idx="252">
                  <c:v>21</c:v>
                </c:pt>
                <c:pt idx="253">
                  <c:v>22</c:v>
                </c:pt>
                <c:pt idx="264">
                  <c:v>22</c:v>
                </c:pt>
                <c:pt idx="265">
                  <c:v>23</c:v>
                </c:pt>
                <c:pt idx="276">
                  <c:v>23</c:v>
                </c:pt>
                <c:pt idx="277">
                  <c:v>24</c:v>
                </c:pt>
                <c:pt idx="288">
                  <c:v>24</c:v>
                </c:pt>
                <c:pt idx="289">
                  <c:v>25</c:v>
                </c:pt>
              </c:numCache>
            </c:numRef>
          </c:cat>
          <c:val>
            <c:numRef>
              <c:f>Calculations!$L$20:$L$319</c:f>
              <c:numCache>
                <c:ptCount val="300"/>
                <c:pt idx="0">
                  <c:v>99808.03439771445</c:v>
                </c:pt>
                <c:pt idx="1">
                  <c:v>99614.94899608224</c:v>
                </c:pt>
                <c:pt idx="2">
                  <c:v>99420.73726294051</c:v>
                </c:pt>
                <c:pt idx="3">
                  <c:v>99225.39262802212</c:v>
                </c:pt>
                <c:pt idx="4">
                  <c:v>99028.90848273337</c:v>
                </c:pt>
                <c:pt idx="5">
                  <c:v>98831.27817993044</c:v>
                </c:pt>
                <c:pt idx="6">
                  <c:v>98632.49503369449</c:v>
                </c:pt>
                <c:pt idx="7">
                  <c:v>98432.5523191055</c:v>
                </c:pt>
                <c:pt idx="8">
                  <c:v>98231.44327201473</c:v>
                </c:pt>
                <c:pt idx="9">
                  <c:v>98029.16108881595</c:v>
                </c:pt>
                <c:pt idx="10">
                  <c:v>97825.69892621516</c:v>
                </c:pt>
                <c:pt idx="11">
                  <c:v>97621.0499009992</c:v>
                </c:pt>
                <c:pt idx="12">
                  <c:v>97415.20708980283</c:v>
                </c:pt>
                <c:pt idx="13">
                  <c:v>97208.16352887447</c:v>
                </c:pt>
                <c:pt idx="14">
                  <c:v>96999.9122138407</c:v>
                </c:pt>
                <c:pt idx="15">
                  <c:v>96790.44609946922</c:v>
                </c:pt>
                <c:pt idx="16">
                  <c:v>96579.75809943058</c:v>
                </c:pt>
                <c:pt idx="17">
                  <c:v>96367.84108605838</c:v>
                </c:pt>
                <c:pt idx="18">
                  <c:v>96154.68789010818</c:v>
                </c:pt>
                <c:pt idx="19">
                  <c:v>95940.29130051493</c:v>
                </c:pt>
                <c:pt idx="20">
                  <c:v>95724.64406414906</c:v>
                </c:pt>
                <c:pt idx="21">
                  <c:v>95507.73888557106</c:v>
                </c:pt>
                <c:pt idx="22">
                  <c:v>95289.56842678468</c:v>
                </c:pt>
                <c:pt idx="23">
                  <c:v>95070.12530698872</c:v>
                </c:pt>
                <c:pt idx="24">
                  <c:v>94849.40210232728</c:v>
                </c:pt>
                <c:pt idx="25">
                  <c:v>94627.39134563865</c:v>
                </c:pt>
                <c:pt idx="26">
                  <c:v>94404.08552620267</c:v>
                </c:pt>
                <c:pt idx="27">
                  <c:v>94179.47708948665</c:v>
                </c:pt>
                <c:pt idx="28">
                  <c:v>93953.55843688978</c:v>
                </c:pt>
                <c:pt idx="29">
                  <c:v>93726.3219254861</c:v>
                </c:pt>
                <c:pt idx="30">
                  <c:v>93497.7598677659</c:v>
                </c:pt>
                <c:pt idx="31">
                  <c:v>93267.86453137566</c:v>
                </c:pt>
                <c:pt idx="32">
                  <c:v>93036.62813885647</c:v>
                </c:pt>
                <c:pt idx="33">
                  <c:v>92804.04286738092</c:v>
                </c:pt>
                <c:pt idx="34">
                  <c:v>92570.10084848844</c:v>
                </c:pt>
                <c:pt idx="35">
                  <c:v>92334.79416781908</c:v>
                </c:pt>
                <c:pt idx="36">
                  <c:v>92098.11486484582</c:v>
                </c:pt>
                <c:pt idx="37">
                  <c:v>91860.05493260521</c:v>
                </c:pt>
                <c:pt idx="38">
                  <c:v>91620.60631742653</c:v>
                </c:pt>
                <c:pt idx="39">
                  <c:v>91379.7609186593</c:v>
                </c:pt>
                <c:pt idx="40">
                  <c:v>91137.51058839928</c:v>
                </c:pt>
                <c:pt idx="41">
                  <c:v>90893.84713121274</c:v>
                </c:pt>
                <c:pt idx="42">
                  <c:v>90648.76230385927</c:v>
                </c:pt>
                <c:pt idx="43">
                  <c:v>90402.2478150129</c:v>
                </c:pt>
                <c:pt idx="44">
                  <c:v>90154.2953249816</c:v>
                </c:pt>
                <c:pt idx="45">
                  <c:v>89904.89644542513</c:v>
                </c:pt>
                <c:pt idx="46">
                  <c:v>89654.04273907123</c:v>
                </c:pt>
                <c:pt idx="47">
                  <c:v>89401.72571943027</c:v>
                </c:pt>
                <c:pt idx="48">
                  <c:v>89147.93685050806</c:v>
                </c:pt>
                <c:pt idx="49">
                  <c:v>88892.66754651716</c:v>
                </c:pt>
                <c:pt idx="50">
                  <c:v>88635.9091715863</c:v>
                </c:pt>
                <c:pt idx="51">
                  <c:v>88377.65303946835</c:v>
                </c:pt>
                <c:pt idx="52">
                  <c:v>88117.89041324638</c:v>
                </c:pt>
                <c:pt idx="53">
                  <c:v>87856.61250503811</c:v>
                </c:pt>
                <c:pt idx="54">
                  <c:v>87593.81047569863</c:v>
                </c:pt>
                <c:pt idx="55">
                  <c:v>87329.47543452133</c:v>
                </c:pt>
                <c:pt idx="56">
                  <c:v>87063.59843893716</c:v>
                </c:pt>
                <c:pt idx="57">
                  <c:v>86796.17049421209</c:v>
                </c:pt>
                <c:pt idx="58">
                  <c:v>86527.18255314277</c:v>
                </c:pt>
                <c:pt idx="59">
                  <c:v>86256.62551575057</c:v>
                </c:pt>
                <c:pt idx="60">
                  <c:v>85984.49022897356</c:v>
                </c:pt>
                <c:pt idx="61">
                  <c:v>85710.76748635703</c:v>
                </c:pt>
                <c:pt idx="62">
                  <c:v>85435.4480277419</c:v>
                </c:pt>
                <c:pt idx="63">
                  <c:v>85158.52253895153</c:v>
                </c:pt>
                <c:pt idx="64">
                  <c:v>84879.98165147654</c:v>
                </c:pt>
                <c:pt idx="65">
                  <c:v>84599.81594215795</c:v>
                </c:pt>
                <c:pt idx="66">
                  <c:v>84318.01593286832</c:v>
                </c:pt>
                <c:pt idx="67">
                  <c:v>84034.57209019118</c:v>
                </c:pt>
                <c:pt idx="68">
                  <c:v>83749.47482509843</c:v>
                </c:pt>
                <c:pt idx="69">
                  <c:v>83462.71449262596</c:v>
                </c:pt>
                <c:pt idx="70">
                  <c:v>83174.28139154741</c:v>
                </c:pt>
                <c:pt idx="71">
                  <c:v>82884.1657640459</c:v>
                </c:pt>
                <c:pt idx="72">
                  <c:v>82592.35779538396</c:v>
                </c:pt>
                <c:pt idx="73">
                  <c:v>82298.84761357149</c:v>
                </c:pt>
                <c:pt idx="74">
                  <c:v>82003.62528903178</c:v>
                </c:pt>
                <c:pt idx="75">
                  <c:v>81706.6808342656</c:v>
                </c:pt>
                <c:pt idx="76">
                  <c:v>81408.00420351328</c:v>
                </c:pt>
                <c:pt idx="77">
                  <c:v>81107.5852924149</c:v>
                </c:pt>
                <c:pt idx="78">
                  <c:v>80805.41393766843</c:v>
                </c:pt>
                <c:pt idx="79">
                  <c:v>80501.47991668596</c:v>
                </c:pt>
                <c:pt idx="80">
                  <c:v>80195.77294724775</c:v>
                </c:pt>
                <c:pt idx="81">
                  <c:v>79888.28268715448</c:v>
                </c:pt>
                <c:pt idx="82">
                  <c:v>79578.99873387734</c:v>
                </c:pt>
                <c:pt idx="83">
                  <c:v>79267.91062420608</c:v>
                </c:pt>
                <c:pt idx="84">
                  <c:v>78955.00783389507</c:v>
                </c:pt>
                <c:pt idx="85">
                  <c:v>78640.27977730725</c:v>
                </c:pt>
                <c:pt idx="86">
                  <c:v>78323.715807056</c:v>
                </c:pt>
                <c:pt idx="87">
                  <c:v>78005.30521364494</c:v>
                </c:pt>
                <c:pt idx="88">
                  <c:v>77685.03722510565</c:v>
                </c:pt>
                <c:pt idx="89">
                  <c:v>77362.90100663323</c:v>
                </c:pt>
                <c:pt idx="90">
                  <c:v>77038.8856602197</c:v>
                </c:pt>
                <c:pt idx="91">
                  <c:v>76712.98022428545</c:v>
                </c:pt>
                <c:pt idx="92">
                  <c:v>76385.17367330824</c:v>
                </c:pt>
                <c:pt idx="93">
                  <c:v>76055.45491745032</c:v>
                </c:pt>
                <c:pt idx="94">
                  <c:v>75723.81280218324</c:v>
                </c:pt>
                <c:pt idx="95">
                  <c:v>75390.23610791043</c:v>
                </c:pt>
                <c:pt idx="96">
                  <c:v>75054.7135495877</c:v>
                </c:pt>
                <c:pt idx="97">
                  <c:v>74717.23377634143</c:v>
                </c:pt>
                <c:pt idx="98">
                  <c:v>74377.78537108454</c:v>
                </c:pt>
                <c:pt idx="99">
                  <c:v>74036.35685013032</c:v>
                </c:pt>
                <c:pt idx="100">
                  <c:v>73692.93666280387</c:v>
                </c:pt>
                <c:pt idx="101">
                  <c:v>73347.51319105134</c:v>
                </c:pt>
                <c:pt idx="102">
                  <c:v>73000.07474904694</c:v>
                </c:pt>
                <c:pt idx="103">
                  <c:v>72650.60958279751</c:v>
                </c:pt>
                <c:pt idx="104">
                  <c:v>72299.10586974495</c:v>
                </c:pt>
                <c:pt idx="105">
                  <c:v>71945.55171836625</c:v>
                </c:pt>
                <c:pt idx="106">
                  <c:v>71589.93516777117</c:v>
                </c:pt>
                <c:pt idx="107">
                  <c:v>71232.24418729762</c:v>
                </c:pt>
                <c:pt idx="108">
                  <c:v>70872.46667610465</c:v>
                </c:pt>
                <c:pt idx="109">
                  <c:v>70510.59046276305</c:v>
                </c:pt>
                <c:pt idx="110">
                  <c:v>70146.60330484362</c:v>
                </c:pt>
                <c:pt idx="111">
                  <c:v>69780.492888503</c:v>
                </c:pt>
                <c:pt idx="112">
                  <c:v>69412.24682806706</c:v>
                </c:pt>
                <c:pt idx="113">
                  <c:v>69041.8526656119</c:v>
                </c:pt>
                <c:pt idx="114">
                  <c:v>68669.29787054243</c:v>
                </c:pt>
                <c:pt idx="115">
                  <c:v>68294.56983916838</c:v>
                </c:pt>
                <c:pt idx="116">
                  <c:v>67917.655894278</c:v>
                </c:pt>
                <c:pt idx="117">
                  <c:v>67538.54328470907</c:v>
                </c:pt>
                <c:pt idx="118">
                  <c:v>67157.21918491766</c:v>
                </c:pt>
                <c:pt idx="119">
                  <c:v>66773.67069454414</c:v>
                </c:pt>
                <c:pt idx="120">
                  <c:v>66387.88483797677</c:v>
                </c:pt>
                <c:pt idx="121">
                  <c:v>65999.84856391276</c:v>
                </c:pt>
                <c:pt idx="122">
                  <c:v>65609.54874491671</c:v>
                </c:pt>
                <c:pt idx="123">
                  <c:v>65216.972176976524</c:v>
                </c:pt>
                <c:pt idx="124">
                  <c:v>64822.10557905668</c:v>
                </c:pt>
                <c:pt idx="125">
                  <c:v>64424.93559264898</c:v>
                </c:pt>
                <c:pt idx="126">
                  <c:v>64025.44878132056</c:v>
                </c:pt>
                <c:pt idx="127">
                  <c:v>63623.6316302594</c:v>
                </c:pt>
                <c:pt idx="128">
                  <c:v>63219.47054581704</c:v>
                </c:pt>
                <c:pt idx="129">
                  <c:v>62812.95185504878</c:v>
                </c:pt>
                <c:pt idx="130">
                  <c:v>62404.061805251025</c:v>
                </c:pt>
                <c:pt idx="131">
                  <c:v>61992.78656349612</c:v>
                </c:pt>
                <c:pt idx="132">
                  <c:v>61579.112216164314</c:v>
                </c:pt>
                <c:pt idx="133">
                  <c:v>61163.02476847307</c:v>
                </c:pt>
                <c:pt idx="134">
                  <c:v>60744.51014400363</c:v>
                </c:pt>
                <c:pt idx="135">
                  <c:v>60323.554184224784</c:v>
                </c:pt>
                <c:pt idx="136">
                  <c:v>59900.14264801389</c:v>
                </c:pt>
                <c:pt idx="137">
                  <c:v>59474.2612111751</c:v>
                </c:pt>
                <c:pt idx="138">
                  <c:v>59045.89546595475</c:v>
                </c:pt>
                <c:pt idx="139">
                  <c:v>58615.03092055395</c:v>
                </c:pt>
                <c:pt idx="140">
                  <c:v>58181.65299863832</c:v>
                </c:pt>
                <c:pt idx="141">
                  <c:v>57745.74703884484</c:v>
                </c:pt>
                <c:pt idx="142">
                  <c:v>57307.2982942859</c:v>
                </c:pt>
                <c:pt idx="143">
                  <c:v>56866.291932050364</c:v>
                </c:pt>
                <c:pt idx="144">
                  <c:v>56422.71303270179</c:v>
                </c:pt>
                <c:pt idx="145">
                  <c:v>55976.54658977368</c:v>
                </c:pt>
                <c:pt idx="146">
                  <c:v>55527.777509261825</c:v>
                </c:pt>
                <c:pt idx="147">
                  <c:v>55076.39060911365</c:v>
                </c:pt>
                <c:pt idx="148">
                  <c:v>54622.370618714616</c:v>
                </c:pt>
                <c:pt idx="149">
                  <c:v>54165.70217837158</c:v>
                </c:pt>
                <c:pt idx="150">
                  <c:v>53706.369838793216</c:v>
                </c:pt>
                <c:pt idx="151">
                  <c:v>53244.358060567305</c:v>
                </c:pt>
                <c:pt idx="152">
                  <c:v>52779.65121363508</c:v>
                </c:pt>
                <c:pt idx="153">
                  <c:v>52312.23357676242</c:v>
                </c:pt>
                <c:pt idx="154">
                  <c:v>51842.089337007994</c:v>
                </c:pt>
                <c:pt idx="155">
                  <c:v>51369.20258918834</c:v>
                </c:pt>
                <c:pt idx="156">
                  <c:v>50893.557335339734</c:v>
                </c:pt>
                <c:pt idx="157">
                  <c:v>50415.137484177016</c:v>
                </c:pt>
                <c:pt idx="158">
                  <c:v>49933.92685054918</c:v>
                </c:pt>
                <c:pt idx="159">
                  <c:v>49449.909154891844</c:v>
                </c:pt>
                <c:pt idx="160">
                  <c:v>48963.06802267651</c:v>
                </c:pt>
                <c:pt idx="161">
                  <c:v>48473.38698385659</c:v>
                </c:pt>
                <c:pt idx="162">
                  <c:v>47980.84947231022</c:v>
                </c:pt>
                <c:pt idx="163">
                  <c:v>47485.43882527982</c:v>
                </c:pt>
                <c:pt idx="164">
                  <c:v>46987.13828280842</c:v>
                </c:pt>
                <c:pt idx="165">
                  <c:v>46485.9309871726</c:v>
                </c:pt>
                <c:pt idx="166">
                  <c:v>45981.79998231224</c:v>
                </c:pt>
                <c:pt idx="167">
                  <c:v>45474.72821325686</c:v>
                </c:pt>
                <c:pt idx="168">
                  <c:v>44964.69852554865</c:v>
                </c:pt>
                <c:pt idx="169">
                  <c:v>44451.69366466214</c:v>
                </c:pt>
                <c:pt idx="170">
                  <c:v>43935.69627542046</c:v>
                </c:pt>
                <c:pt idx="171">
                  <c:v>43416.68890140821</c:v>
                </c:pt>
                <c:pt idx="172">
                  <c:v>42894.653984380886</c:v>
                </c:pt>
                <c:pt idx="173">
                  <c:v>42369.5738636709</c:v>
                </c:pt>
                <c:pt idx="174">
                  <c:v>41841.4307755901</c:v>
                </c:pt>
                <c:pt idx="175">
                  <c:v>41310.20685282884</c:v>
                </c:pt>
                <c:pt idx="176">
                  <c:v>40775.884123851465</c:v>
                </c:pt>
                <c:pt idx="177">
                  <c:v>40238.44451228839</c:v>
                </c:pt>
                <c:pt idx="178">
                  <c:v>39697.869836324535</c:v>
                </c:pt>
                <c:pt idx="179">
                  <c:v>39154.14180808422</c:v>
                </c:pt>
                <c:pt idx="180">
                  <c:v>38607.2420330125</c:v>
                </c:pt>
                <c:pt idx="181">
                  <c:v>38057.152009252866</c:v>
                </c:pt>
                <c:pt idx="182">
                  <c:v>37503.8531270213</c:v>
                </c:pt>
                <c:pt idx="183">
                  <c:v>36947.32666797671</c:v>
                </c:pt>
                <c:pt idx="184">
                  <c:v>36387.5538045877</c:v>
                </c:pt>
                <c:pt idx="185">
                  <c:v>35824.51559949558</c:v>
                </c:pt>
                <c:pt idx="186">
                  <c:v>35258.19300487377</c:v>
                </c:pt>
                <c:pt idx="187">
                  <c:v>34688.56686178332</c:v>
                </c:pt>
                <c:pt idx="188">
                  <c:v>34115.61789952485</c:v>
                </c:pt>
                <c:pt idx="189">
                  <c:v>33539.32673498654</c:v>
                </c:pt>
                <c:pt idx="190">
                  <c:v>32959.67387198842</c:v>
                </c:pt>
                <c:pt idx="191">
                  <c:v>32376.639700622818</c:v>
                </c:pt>
                <c:pt idx="192">
                  <c:v>31790.20449659091</c:v>
                </c:pt>
                <c:pt idx="193">
                  <c:v>31200.348420535487</c:v>
                </c:pt>
                <c:pt idx="194">
                  <c:v>30607.05151736974</c:v>
                </c:pt>
                <c:pt idx="195">
                  <c:v>30010.29371560219</c:v>
                </c:pt>
                <c:pt idx="196">
                  <c:v>29410.054826657662</c:v>
                </c:pt>
                <c:pt idx="197">
                  <c:v>28806.314544194294</c:v>
                </c:pt>
                <c:pt idx="198">
                  <c:v>28199.052443416556</c:v>
                </c:pt>
                <c:pt idx="199">
                  <c:v>27588.24798038428</c:v>
                </c:pt>
                <c:pt idx="200">
                  <c:v>26973.88049131765</c:v>
                </c:pt>
                <c:pt idx="201">
                  <c:v>26355.92919189813</c:v>
                </c:pt>
                <c:pt idx="202">
                  <c:v>25734.37317656533</c:v>
                </c:pt>
                <c:pt idx="203">
                  <c:v>25109.19141780975</c:v>
                </c:pt>
                <c:pt idx="204">
                  <c:v>24480.362765461432</c:v>
                </c:pt>
                <c:pt idx="205">
                  <c:v>23847.865945974412</c:v>
                </c:pt>
                <c:pt idx="206">
                  <c:v>23211.679561707053</c:v>
                </c:pt>
                <c:pt idx="207">
                  <c:v>22571.782090198132</c:v>
                </c:pt>
                <c:pt idx="208">
                  <c:v>21928.151883438746</c:v>
                </c:pt>
                <c:pt idx="209">
                  <c:v>21280.76716713993</c:v>
                </c:pt>
                <c:pt idx="210">
                  <c:v>20629.60603999604</c:v>
                </c:pt>
                <c:pt idx="211">
                  <c:v>19974.64647294381</c:v>
                </c:pt>
                <c:pt idx="212">
                  <c:v>19315.866308417102</c:v>
                </c:pt>
                <c:pt idx="213">
                  <c:v>18653.24325959733</c:v>
                </c:pt>
                <c:pt idx="214">
                  <c:v>17986.754909659438</c:v>
                </c:pt>
                <c:pt idx="215">
                  <c:v>17316.378711013575</c:v>
                </c:pt>
                <c:pt idx="216">
                  <c:v>16642.091984542276</c:v>
                </c:pt>
                <c:pt idx="217">
                  <c:v>15963.87191883323</c:v>
                </c:pt>
                <c:pt idx="218">
                  <c:v>15281.69556940755</c:v>
                </c:pt>
                <c:pt idx="219">
                  <c:v>14595.539857943551</c:v>
                </c:pt>
                <c:pt idx="220">
                  <c:v>13905.381571496011</c:v>
                </c:pt>
                <c:pt idx="221">
                  <c:v>13211.197361710863</c:v>
                </c:pt>
                <c:pt idx="222">
                  <c:v>12512.9637440353</c:v>
                </c:pt>
                <c:pt idx="223">
                  <c:v>11810.657096923296</c:v>
                </c:pt>
                <c:pt idx="224">
                  <c:v>11104.253661036471</c:v>
                </c:pt>
                <c:pt idx="225">
                  <c:v>10393.729538440306</c:v>
                </c:pt>
                <c:pt idx="226">
                  <c:v>9679.060691795665</c:v>
                </c:pt>
                <c:pt idx="227">
                  <c:v>8960.222943545596</c:v>
                </c:pt>
                <c:pt idx="228">
                  <c:v>8237.1919750974</c:v>
                </c:pt>
                <c:pt idx="229">
                  <c:v>7509.943325999924</c:v>
                </c:pt>
                <c:pt idx="230">
                  <c:v>6778.452393116045</c:v>
                </c:pt>
                <c:pt idx="231">
                  <c:v>6042.694429790344</c:v>
                </c:pt>
                <c:pt idx="232">
                  <c:v>5302.644545011908</c:v>
                </c:pt>
                <c:pt idx="233">
                  <c:v>4558.277702572263</c:v>
                </c:pt>
                <c:pt idx="234">
                  <c:v>3809.568720218387</c:v>
                </c:pt>
                <c:pt idx="235">
                  <c:v>3056.4922688007805</c:v>
                </c:pt>
                <c:pt idx="236">
                  <c:v>2299.02287141657</c:v>
                </c:pt>
                <c:pt idx="237">
                  <c:v>1537.1349025476197</c:v>
                </c:pt>
                <c:pt idx="238">
                  <c:v>770.802587193592</c:v>
                </c:pt>
                <c:pt idx="239">
                  <c:v>3.069544618483633E-12</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numCache>
            </c:numRef>
          </c:val>
          <c:smooth val="1"/>
        </c:ser>
        <c:marker val="1"/>
        <c:axId val="15258877"/>
        <c:axId val="3112166"/>
      </c:lineChart>
      <c:catAx>
        <c:axId val="15258877"/>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Year Ending</a:t>
                </a:r>
              </a:p>
            </c:rich>
          </c:tx>
          <c:layout>
            <c:manualLayout>
              <c:xMode val="factor"/>
              <c:yMode val="factor"/>
              <c:x val="-0.003"/>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112166"/>
        <c:crosses val="autoZero"/>
        <c:auto val="1"/>
        <c:lblOffset val="100"/>
        <c:tickLblSkip val="12"/>
        <c:tickMarkSkip val="12"/>
        <c:noMultiLvlLbl val="0"/>
      </c:catAx>
      <c:valAx>
        <c:axId val="3112166"/>
        <c:scaling>
          <c:orientation val="minMax"/>
          <c:min val="0"/>
        </c:scaling>
        <c:axPos val="l"/>
        <c:title>
          <c:tx>
            <c:rich>
              <a:bodyPr vert="horz" rot="-5400000" anchor="ctr"/>
              <a:lstStyle/>
              <a:p>
                <a:pPr algn="ctr">
                  <a:defRPr/>
                </a:pPr>
                <a:r>
                  <a:rPr lang="en-US" cap="none" sz="1200" b="1" i="0" u="none" baseline="0">
                    <a:solidFill>
                      <a:srgbClr val="000000"/>
                    </a:solidFill>
                    <a:latin typeface="Arial"/>
                    <a:ea typeface="Arial"/>
                    <a:cs typeface="Arial"/>
                  </a:rPr>
                  <a:t>Debt</a:t>
                </a:r>
              </a:p>
            </c:rich>
          </c:tx>
          <c:layout>
            <c:manualLayout>
              <c:xMode val="factor"/>
              <c:yMode val="factor"/>
              <c:x val="-0.00175"/>
              <c:y val="-0.001"/>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5258877"/>
        <c:crossesAt val="1"/>
        <c:crossBetween val="between"/>
        <c:dispUnits/>
      </c:valAx>
      <c:spPr>
        <a:solidFill>
          <a:srgbClr val="FFFFFF"/>
        </a:solidFill>
        <a:ln w="12700">
          <a:solidFill>
            <a:srgbClr val="808080"/>
          </a:solidFill>
        </a:ln>
      </c:spPr>
    </c:plotArea>
    <c:legend>
      <c:legendPos val="t"/>
      <c:layout>
        <c:manualLayout>
          <c:xMode val="edge"/>
          <c:yMode val="edge"/>
          <c:x val="0.1325"/>
          <c:y val="0.02725"/>
          <c:w val="0.16575"/>
          <c:h val="0.076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99"/>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Normal Monthy Payments
</a:t>
            </a:r>
            <a:r>
              <a:rPr lang="en-US" cap="none" sz="1200" b="1" i="0" u="none" baseline="0">
                <a:solidFill>
                  <a:srgbClr val="000000"/>
                </a:solidFill>
                <a:latin typeface="Arial"/>
                <a:ea typeface="Arial"/>
                <a:cs typeface="Arial"/>
              </a:rPr>
              <a:t>(excluding credits/debits)</a:t>
            </a:r>
          </a:p>
        </c:rich>
      </c:tx>
      <c:layout>
        <c:manualLayout>
          <c:xMode val="factor"/>
          <c:yMode val="factor"/>
          <c:x val="-0.00425"/>
          <c:y val="0"/>
        </c:manualLayout>
      </c:layout>
      <c:spPr>
        <a:noFill/>
        <a:ln>
          <a:noFill/>
        </a:ln>
      </c:spPr>
    </c:title>
    <c:plotArea>
      <c:layout>
        <c:manualLayout>
          <c:xMode val="edge"/>
          <c:yMode val="edge"/>
          <c:x val="0.04125"/>
          <c:y val="0.13675"/>
          <c:w val="0.90275"/>
          <c:h val="0.79625"/>
        </c:manualLayout>
      </c:layout>
      <c:barChart>
        <c:barDir val="col"/>
        <c:grouping val="clustered"/>
        <c:varyColors val="0"/>
        <c:ser>
          <c:idx val="0"/>
          <c:order val="0"/>
          <c:tx>
            <c:v>Traditional Payment</c:v>
          </c:tx>
          <c:spPr>
            <a:solidFill>
              <a:srgbClr val="8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Calculations!$B$19:$B$319</c:f>
              <c:numCache>
                <c:ptCount val="300"/>
                <c:pt idx="1">
                  <c:v>1</c:v>
                </c:pt>
                <c:pt idx="12">
                  <c:v>1</c:v>
                </c:pt>
                <c:pt idx="13">
                  <c:v>2</c:v>
                </c:pt>
                <c:pt idx="24">
                  <c:v>2</c:v>
                </c:pt>
                <c:pt idx="25">
                  <c:v>3</c:v>
                </c:pt>
                <c:pt idx="36">
                  <c:v>3</c:v>
                </c:pt>
                <c:pt idx="37">
                  <c:v>4</c:v>
                </c:pt>
                <c:pt idx="48">
                  <c:v>4</c:v>
                </c:pt>
                <c:pt idx="49">
                  <c:v>5</c:v>
                </c:pt>
                <c:pt idx="60">
                  <c:v>5</c:v>
                </c:pt>
                <c:pt idx="61">
                  <c:v>6</c:v>
                </c:pt>
                <c:pt idx="72">
                  <c:v>6</c:v>
                </c:pt>
                <c:pt idx="73">
                  <c:v>7</c:v>
                </c:pt>
                <c:pt idx="84">
                  <c:v>7</c:v>
                </c:pt>
                <c:pt idx="85">
                  <c:v>8</c:v>
                </c:pt>
                <c:pt idx="96">
                  <c:v>8</c:v>
                </c:pt>
                <c:pt idx="97">
                  <c:v>9</c:v>
                </c:pt>
                <c:pt idx="108">
                  <c:v>9</c:v>
                </c:pt>
                <c:pt idx="109">
                  <c:v>10</c:v>
                </c:pt>
                <c:pt idx="120">
                  <c:v>10</c:v>
                </c:pt>
                <c:pt idx="121">
                  <c:v>11</c:v>
                </c:pt>
                <c:pt idx="132">
                  <c:v>11</c:v>
                </c:pt>
                <c:pt idx="133">
                  <c:v>12</c:v>
                </c:pt>
                <c:pt idx="144">
                  <c:v>12</c:v>
                </c:pt>
                <c:pt idx="145">
                  <c:v>13</c:v>
                </c:pt>
                <c:pt idx="156">
                  <c:v>13</c:v>
                </c:pt>
                <c:pt idx="157">
                  <c:v>14</c:v>
                </c:pt>
                <c:pt idx="168">
                  <c:v>14</c:v>
                </c:pt>
                <c:pt idx="169">
                  <c:v>15</c:v>
                </c:pt>
                <c:pt idx="180">
                  <c:v>15</c:v>
                </c:pt>
                <c:pt idx="181">
                  <c:v>16</c:v>
                </c:pt>
                <c:pt idx="192">
                  <c:v>16</c:v>
                </c:pt>
                <c:pt idx="193">
                  <c:v>17</c:v>
                </c:pt>
                <c:pt idx="204">
                  <c:v>17</c:v>
                </c:pt>
                <c:pt idx="205">
                  <c:v>18</c:v>
                </c:pt>
                <c:pt idx="216">
                  <c:v>18</c:v>
                </c:pt>
                <c:pt idx="217">
                  <c:v>19</c:v>
                </c:pt>
                <c:pt idx="228">
                  <c:v>19</c:v>
                </c:pt>
                <c:pt idx="229">
                  <c:v>20</c:v>
                </c:pt>
                <c:pt idx="240">
                  <c:v>20</c:v>
                </c:pt>
                <c:pt idx="241">
                  <c:v>21</c:v>
                </c:pt>
                <c:pt idx="252">
                  <c:v>21</c:v>
                </c:pt>
                <c:pt idx="253">
                  <c:v>22</c:v>
                </c:pt>
                <c:pt idx="264">
                  <c:v>22</c:v>
                </c:pt>
                <c:pt idx="265">
                  <c:v>23</c:v>
                </c:pt>
                <c:pt idx="276">
                  <c:v>23</c:v>
                </c:pt>
                <c:pt idx="277">
                  <c:v>24</c:v>
                </c:pt>
                <c:pt idx="288">
                  <c:v>24</c:v>
                </c:pt>
                <c:pt idx="289">
                  <c:v>25</c:v>
                </c:pt>
              </c:numCache>
            </c:numRef>
          </c:cat>
          <c:val>
            <c:numRef>
              <c:f>Calculations!$P$20:$P$319</c:f>
              <c:numCache>
                <c:ptCount val="300"/>
                <c:pt idx="0">
                  <c:v>775.2989356188735</c:v>
                </c:pt>
                <c:pt idx="1">
                  <c:v>775.2989356188733</c:v>
                </c:pt>
                <c:pt idx="2">
                  <c:v>775.2989356188734</c:v>
                </c:pt>
                <c:pt idx="3">
                  <c:v>775.2989356188733</c:v>
                </c:pt>
                <c:pt idx="4">
                  <c:v>775.2989356188733</c:v>
                </c:pt>
                <c:pt idx="5">
                  <c:v>775.2989356188733</c:v>
                </c:pt>
                <c:pt idx="6">
                  <c:v>775.2989356188732</c:v>
                </c:pt>
                <c:pt idx="7">
                  <c:v>775.2989356188732</c:v>
                </c:pt>
                <c:pt idx="8">
                  <c:v>775.2989356188732</c:v>
                </c:pt>
                <c:pt idx="9">
                  <c:v>775.2989356188732</c:v>
                </c:pt>
                <c:pt idx="10">
                  <c:v>775.2989356188731</c:v>
                </c:pt>
                <c:pt idx="11">
                  <c:v>775.2989356188731</c:v>
                </c:pt>
                <c:pt idx="12">
                  <c:v>775.2989356188731</c:v>
                </c:pt>
                <c:pt idx="13">
                  <c:v>775.2989356188732</c:v>
                </c:pt>
                <c:pt idx="14">
                  <c:v>775.2989356188731</c:v>
                </c:pt>
                <c:pt idx="15">
                  <c:v>775.2989356188731</c:v>
                </c:pt>
                <c:pt idx="16">
                  <c:v>775.298935618873</c:v>
                </c:pt>
                <c:pt idx="17">
                  <c:v>775.298935618873</c:v>
                </c:pt>
                <c:pt idx="18">
                  <c:v>775.298935618873</c:v>
                </c:pt>
                <c:pt idx="19">
                  <c:v>775.298935618873</c:v>
                </c:pt>
                <c:pt idx="20">
                  <c:v>775.2989356188729</c:v>
                </c:pt>
                <c:pt idx="21">
                  <c:v>775.298935618873</c:v>
                </c:pt>
                <c:pt idx="22">
                  <c:v>775.298935618873</c:v>
                </c:pt>
                <c:pt idx="23">
                  <c:v>775.298935618873</c:v>
                </c:pt>
                <c:pt idx="24">
                  <c:v>775.298935618873</c:v>
                </c:pt>
                <c:pt idx="25">
                  <c:v>775.298935618873</c:v>
                </c:pt>
                <c:pt idx="26">
                  <c:v>775.298935618873</c:v>
                </c:pt>
                <c:pt idx="27">
                  <c:v>775.2989356188729</c:v>
                </c:pt>
                <c:pt idx="28">
                  <c:v>775.298935618873</c:v>
                </c:pt>
                <c:pt idx="29">
                  <c:v>775.298935618873</c:v>
                </c:pt>
                <c:pt idx="30">
                  <c:v>775.298935618873</c:v>
                </c:pt>
                <c:pt idx="31">
                  <c:v>775.298935618873</c:v>
                </c:pt>
                <c:pt idx="32">
                  <c:v>775.298935618873</c:v>
                </c:pt>
                <c:pt idx="33">
                  <c:v>775.2989356188731</c:v>
                </c:pt>
                <c:pt idx="34">
                  <c:v>775.2989356188729</c:v>
                </c:pt>
                <c:pt idx="35">
                  <c:v>775.2989356188729</c:v>
                </c:pt>
                <c:pt idx="36">
                  <c:v>775.2989356188731</c:v>
                </c:pt>
                <c:pt idx="37">
                  <c:v>775.298935618873</c:v>
                </c:pt>
                <c:pt idx="38">
                  <c:v>775.2989356188729</c:v>
                </c:pt>
                <c:pt idx="39">
                  <c:v>775.298935618873</c:v>
                </c:pt>
                <c:pt idx="40">
                  <c:v>775.2989356188729</c:v>
                </c:pt>
                <c:pt idx="41">
                  <c:v>775.2989356188729</c:v>
                </c:pt>
                <c:pt idx="42">
                  <c:v>775.2989356188729</c:v>
                </c:pt>
                <c:pt idx="43">
                  <c:v>775.298935618873</c:v>
                </c:pt>
                <c:pt idx="44">
                  <c:v>775.2989356188729</c:v>
                </c:pt>
                <c:pt idx="45">
                  <c:v>775.2989356188727</c:v>
                </c:pt>
                <c:pt idx="46">
                  <c:v>775.298935618873</c:v>
                </c:pt>
                <c:pt idx="47">
                  <c:v>775.2989356188729</c:v>
                </c:pt>
                <c:pt idx="48">
                  <c:v>775.2989356188729</c:v>
                </c:pt>
                <c:pt idx="49">
                  <c:v>775.2989356188726</c:v>
                </c:pt>
                <c:pt idx="50">
                  <c:v>775.2989356188729</c:v>
                </c:pt>
                <c:pt idx="51">
                  <c:v>775.2989356188727</c:v>
                </c:pt>
                <c:pt idx="52">
                  <c:v>775.2989356188727</c:v>
                </c:pt>
                <c:pt idx="53">
                  <c:v>775.2989356188729</c:v>
                </c:pt>
                <c:pt idx="54">
                  <c:v>775.2989356188729</c:v>
                </c:pt>
                <c:pt idx="55">
                  <c:v>775.2989356188727</c:v>
                </c:pt>
                <c:pt idx="56">
                  <c:v>775.2989356188727</c:v>
                </c:pt>
                <c:pt idx="57">
                  <c:v>775.2989356188729</c:v>
                </c:pt>
                <c:pt idx="58">
                  <c:v>775.2989356188727</c:v>
                </c:pt>
                <c:pt idx="59">
                  <c:v>775.2989356188726</c:v>
                </c:pt>
                <c:pt idx="60">
                  <c:v>775.2989356188727</c:v>
                </c:pt>
                <c:pt idx="61">
                  <c:v>775.2989356188725</c:v>
                </c:pt>
                <c:pt idx="62">
                  <c:v>775.2989356188726</c:v>
                </c:pt>
                <c:pt idx="63">
                  <c:v>775.2989356188725</c:v>
                </c:pt>
                <c:pt idx="64">
                  <c:v>775.2989356188726</c:v>
                </c:pt>
                <c:pt idx="65">
                  <c:v>775.2989356188726</c:v>
                </c:pt>
                <c:pt idx="66">
                  <c:v>775.2989356188725</c:v>
                </c:pt>
                <c:pt idx="67">
                  <c:v>775.2989356188725</c:v>
                </c:pt>
                <c:pt idx="68">
                  <c:v>775.2989356188726</c:v>
                </c:pt>
                <c:pt idx="69">
                  <c:v>775.2989356188725</c:v>
                </c:pt>
                <c:pt idx="70">
                  <c:v>775.2989356188726</c:v>
                </c:pt>
                <c:pt idx="71">
                  <c:v>775.2989356188726</c:v>
                </c:pt>
                <c:pt idx="72">
                  <c:v>775.2989356188727</c:v>
                </c:pt>
                <c:pt idx="73">
                  <c:v>775.2989356188726</c:v>
                </c:pt>
                <c:pt idx="74">
                  <c:v>775.2989356188726</c:v>
                </c:pt>
                <c:pt idx="75">
                  <c:v>775.2989356188727</c:v>
                </c:pt>
                <c:pt idx="76">
                  <c:v>775.2989356188727</c:v>
                </c:pt>
                <c:pt idx="77">
                  <c:v>775.2989356188726</c:v>
                </c:pt>
                <c:pt idx="78">
                  <c:v>775.2989356188726</c:v>
                </c:pt>
                <c:pt idx="79">
                  <c:v>775.2989356188727</c:v>
                </c:pt>
                <c:pt idx="80">
                  <c:v>775.2989356188726</c:v>
                </c:pt>
                <c:pt idx="81">
                  <c:v>775.2989356188726</c:v>
                </c:pt>
                <c:pt idx="82">
                  <c:v>775.2989356188724</c:v>
                </c:pt>
                <c:pt idx="83">
                  <c:v>775.2989356188724</c:v>
                </c:pt>
                <c:pt idx="84">
                  <c:v>775.2989356188725</c:v>
                </c:pt>
                <c:pt idx="85">
                  <c:v>775.2989356188724</c:v>
                </c:pt>
                <c:pt idx="86">
                  <c:v>775.2989356188724</c:v>
                </c:pt>
                <c:pt idx="87">
                  <c:v>775.2989356188722</c:v>
                </c:pt>
                <c:pt idx="88">
                  <c:v>775.2989356188723</c:v>
                </c:pt>
                <c:pt idx="89">
                  <c:v>775.2989356188721</c:v>
                </c:pt>
                <c:pt idx="90">
                  <c:v>775.298935618872</c:v>
                </c:pt>
                <c:pt idx="91">
                  <c:v>775.2989356188718</c:v>
                </c:pt>
                <c:pt idx="92">
                  <c:v>775.2989356188721</c:v>
                </c:pt>
                <c:pt idx="93">
                  <c:v>775.298935618872</c:v>
                </c:pt>
                <c:pt idx="94">
                  <c:v>775.2989356188718</c:v>
                </c:pt>
                <c:pt idx="95">
                  <c:v>775.2989356188718</c:v>
                </c:pt>
                <c:pt idx="96">
                  <c:v>775.298935618872</c:v>
                </c:pt>
                <c:pt idx="97">
                  <c:v>775.2989356188718</c:v>
                </c:pt>
                <c:pt idx="98">
                  <c:v>775.2989356188717</c:v>
                </c:pt>
                <c:pt idx="99">
                  <c:v>775.2989356188717</c:v>
                </c:pt>
                <c:pt idx="100">
                  <c:v>775.2989356188717</c:v>
                </c:pt>
                <c:pt idx="101">
                  <c:v>775.2989356188717</c:v>
                </c:pt>
                <c:pt idx="102">
                  <c:v>775.2989356188716</c:v>
                </c:pt>
                <c:pt idx="103">
                  <c:v>775.2989356188715</c:v>
                </c:pt>
                <c:pt idx="104">
                  <c:v>775.2989356188717</c:v>
                </c:pt>
                <c:pt idx="105">
                  <c:v>775.2989356188716</c:v>
                </c:pt>
                <c:pt idx="106">
                  <c:v>775.2989356188715</c:v>
                </c:pt>
                <c:pt idx="107">
                  <c:v>775.2989356188713</c:v>
                </c:pt>
                <c:pt idx="108">
                  <c:v>775.2989356188714</c:v>
                </c:pt>
                <c:pt idx="109">
                  <c:v>775.2989356188714</c:v>
                </c:pt>
                <c:pt idx="110">
                  <c:v>775.2989356188714</c:v>
                </c:pt>
                <c:pt idx="111">
                  <c:v>775.2989356188712</c:v>
                </c:pt>
                <c:pt idx="112">
                  <c:v>775.2989356188712</c:v>
                </c:pt>
                <c:pt idx="113">
                  <c:v>775.2989356188713</c:v>
                </c:pt>
                <c:pt idx="114">
                  <c:v>775.2989356188709</c:v>
                </c:pt>
                <c:pt idx="115">
                  <c:v>775.2989356188709</c:v>
                </c:pt>
                <c:pt idx="116">
                  <c:v>775.2989356188709</c:v>
                </c:pt>
                <c:pt idx="117">
                  <c:v>775.2989356188709</c:v>
                </c:pt>
                <c:pt idx="118">
                  <c:v>775.2989356188709</c:v>
                </c:pt>
                <c:pt idx="119">
                  <c:v>775.2989356188708</c:v>
                </c:pt>
                <c:pt idx="120">
                  <c:v>775.2989356188709</c:v>
                </c:pt>
                <c:pt idx="121">
                  <c:v>775.2989356188708</c:v>
                </c:pt>
                <c:pt idx="122">
                  <c:v>775.2989356188706</c:v>
                </c:pt>
                <c:pt idx="123">
                  <c:v>775.2989356188706</c:v>
                </c:pt>
                <c:pt idx="124">
                  <c:v>775.2989356188707</c:v>
                </c:pt>
                <c:pt idx="125">
                  <c:v>775.2989356188706</c:v>
                </c:pt>
                <c:pt idx="126">
                  <c:v>775.2989356188707</c:v>
                </c:pt>
                <c:pt idx="127">
                  <c:v>775.2989356188707</c:v>
                </c:pt>
                <c:pt idx="128">
                  <c:v>775.2989356188709</c:v>
                </c:pt>
                <c:pt idx="129">
                  <c:v>775.298935618871</c:v>
                </c:pt>
                <c:pt idx="130">
                  <c:v>775.2989356188709</c:v>
                </c:pt>
                <c:pt idx="131">
                  <c:v>775.2989356188708</c:v>
                </c:pt>
                <c:pt idx="132">
                  <c:v>775.2989356188712</c:v>
                </c:pt>
                <c:pt idx="133">
                  <c:v>775.2989356188712</c:v>
                </c:pt>
                <c:pt idx="134">
                  <c:v>775.2989356188713</c:v>
                </c:pt>
                <c:pt idx="135">
                  <c:v>775.2989356188712</c:v>
                </c:pt>
                <c:pt idx="136">
                  <c:v>775.2989356188714</c:v>
                </c:pt>
                <c:pt idx="137">
                  <c:v>775.2989356188714</c:v>
                </c:pt>
                <c:pt idx="138">
                  <c:v>775.2989356188714</c:v>
                </c:pt>
                <c:pt idx="139">
                  <c:v>775.2989356188714</c:v>
                </c:pt>
                <c:pt idx="140">
                  <c:v>775.2989356188715</c:v>
                </c:pt>
                <c:pt idx="141">
                  <c:v>775.2989356188715</c:v>
                </c:pt>
                <c:pt idx="142">
                  <c:v>775.2989356188715</c:v>
                </c:pt>
                <c:pt idx="143">
                  <c:v>775.2989356188718</c:v>
                </c:pt>
                <c:pt idx="144">
                  <c:v>775.2989356188718</c:v>
                </c:pt>
                <c:pt idx="145">
                  <c:v>775.2989356188718</c:v>
                </c:pt>
                <c:pt idx="146">
                  <c:v>775.2989356188716</c:v>
                </c:pt>
                <c:pt idx="147">
                  <c:v>775.2989356188718</c:v>
                </c:pt>
                <c:pt idx="148">
                  <c:v>775.298935618872</c:v>
                </c:pt>
                <c:pt idx="149">
                  <c:v>775.2989356188721</c:v>
                </c:pt>
                <c:pt idx="150">
                  <c:v>775.2989356188722</c:v>
                </c:pt>
                <c:pt idx="151">
                  <c:v>775.2989356188722</c:v>
                </c:pt>
                <c:pt idx="152">
                  <c:v>775.2989356188722</c:v>
                </c:pt>
                <c:pt idx="153">
                  <c:v>775.2989356188724</c:v>
                </c:pt>
                <c:pt idx="154">
                  <c:v>775.2989356188724</c:v>
                </c:pt>
                <c:pt idx="155">
                  <c:v>775.2989356188723</c:v>
                </c:pt>
                <c:pt idx="156">
                  <c:v>775.2989356188725</c:v>
                </c:pt>
                <c:pt idx="157">
                  <c:v>775.2989356188724</c:v>
                </c:pt>
                <c:pt idx="158">
                  <c:v>775.2989356188727</c:v>
                </c:pt>
                <c:pt idx="159">
                  <c:v>775.2989356188726</c:v>
                </c:pt>
                <c:pt idx="160">
                  <c:v>775.2989356188729</c:v>
                </c:pt>
                <c:pt idx="161">
                  <c:v>775.298935618873</c:v>
                </c:pt>
                <c:pt idx="162">
                  <c:v>775.2989356188727</c:v>
                </c:pt>
                <c:pt idx="163">
                  <c:v>775.2989356188731</c:v>
                </c:pt>
                <c:pt idx="164">
                  <c:v>775.2989356188733</c:v>
                </c:pt>
                <c:pt idx="165">
                  <c:v>775.2989356188732</c:v>
                </c:pt>
                <c:pt idx="166">
                  <c:v>775.2989356188734</c:v>
                </c:pt>
                <c:pt idx="167">
                  <c:v>775.2989356188733</c:v>
                </c:pt>
                <c:pt idx="168">
                  <c:v>775.2989356188735</c:v>
                </c:pt>
                <c:pt idx="169">
                  <c:v>775.298935618874</c:v>
                </c:pt>
                <c:pt idx="170">
                  <c:v>775.2989356188737</c:v>
                </c:pt>
                <c:pt idx="171">
                  <c:v>775.2989356188737</c:v>
                </c:pt>
                <c:pt idx="172">
                  <c:v>775.2989356188739</c:v>
                </c:pt>
                <c:pt idx="173">
                  <c:v>775.2989356188739</c:v>
                </c:pt>
                <c:pt idx="174">
                  <c:v>775.298935618874</c:v>
                </c:pt>
                <c:pt idx="175">
                  <c:v>775.2989356188739</c:v>
                </c:pt>
                <c:pt idx="176">
                  <c:v>775.2989356188738</c:v>
                </c:pt>
                <c:pt idx="177">
                  <c:v>775.2989356188739</c:v>
                </c:pt>
                <c:pt idx="178">
                  <c:v>775.2989356188735</c:v>
                </c:pt>
                <c:pt idx="179">
                  <c:v>775.2989356188739</c:v>
                </c:pt>
                <c:pt idx="180">
                  <c:v>775.2989356188738</c:v>
                </c:pt>
                <c:pt idx="181">
                  <c:v>775.2989356188737</c:v>
                </c:pt>
                <c:pt idx="182">
                  <c:v>775.2989356188739</c:v>
                </c:pt>
                <c:pt idx="183">
                  <c:v>775.2989356188737</c:v>
                </c:pt>
                <c:pt idx="184">
                  <c:v>775.2989356188739</c:v>
                </c:pt>
                <c:pt idx="185">
                  <c:v>775.2989356188738</c:v>
                </c:pt>
                <c:pt idx="186">
                  <c:v>775.2989356188732</c:v>
                </c:pt>
                <c:pt idx="187">
                  <c:v>775.2989356188738</c:v>
                </c:pt>
                <c:pt idx="188">
                  <c:v>775.2989356188739</c:v>
                </c:pt>
                <c:pt idx="189">
                  <c:v>775.2989356188735</c:v>
                </c:pt>
                <c:pt idx="190">
                  <c:v>775.2989356188738</c:v>
                </c:pt>
                <c:pt idx="191">
                  <c:v>775.2989356188737</c:v>
                </c:pt>
                <c:pt idx="192">
                  <c:v>775.2989356188742</c:v>
                </c:pt>
                <c:pt idx="193">
                  <c:v>775.2989356188745</c:v>
                </c:pt>
                <c:pt idx="194">
                  <c:v>775.298935618874</c:v>
                </c:pt>
                <c:pt idx="195">
                  <c:v>775.2989356188739</c:v>
                </c:pt>
                <c:pt idx="196">
                  <c:v>775.2989356188747</c:v>
                </c:pt>
                <c:pt idx="197">
                  <c:v>775.2989356188746</c:v>
                </c:pt>
                <c:pt idx="198">
                  <c:v>775.2989356188749</c:v>
                </c:pt>
                <c:pt idx="199">
                  <c:v>775.2989356188746</c:v>
                </c:pt>
                <c:pt idx="200">
                  <c:v>775.2989356188748</c:v>
                </c:pt>
                <c:pt idx="201">
                  <c:v>775.2989356188752</c:v>
                </c:pt>
                <c:pt idx="202">
                  <c:v>775.298935618875</c:v>
                </c:pt>
                <c:pt idx="203">
                  <c:v>775.2989356188756</c:v>
                </c:pt>
                <c:pt idx="204">
                  <c:v>775.2989356188755</c:v>
                </c:pt>
                <c:pt idx="205">
                  <c:v>775.2989356188757</c:v>
                </c:pt>
                <c:pt idx="206">
                  <c:v>775.2989356188755</c:v>
                </c:pt>
                <c:pt idx="207">
                  <c:v>775.2989356188757</c:v>
                </c:pt>
                <c:pt idx="208">
                  <c:v>775.2989356188756</c:v>
                </c:pt>
                <c:pt idx="209">
                  <c:v>775.2989356188758</c:v>
                </c:pt>
                <c:pt idx="210">
                  <c:v>775.2989356188752</c:v>
                </c:pt>
                <c:pt idx="211">
                  <c:v>775.2989356188756</c:v>
                </c:pt>
                <c:pt idx="212">
                  <c:v>775.2989356188757</c:v>
                </c:pt>
                <c:pt idx="213">
                  <c:v>775.2989356188755</c:v>
                </c:pt>
                <c:pt idx="214">
                  <c:v>775.2989356188762</c:v>
                </c:pt>
                <c:pt idx="215">
                  <c:v>775.2989356188757</c:v>
                </c:pt>
                <c:pt idx="216">
                  <c:v>775.2989356188763</c:v>
                </c:pt>
                <c:pt idx="217">
                  <c:v>775.2989356188763</c:v>
                </c:pt>
                <c:pt idx="218">
                  <c:v>775.2989356188757</c:v>
                </c:pt>
                <c:pt idx="219">
                  <c:v>775.2989356188759</c:v>
                </c:pt>
                <c:pt idx="220">
                  <c:v>775.2989356188771</c:v>
                </c:pt>
                <c:pt idx="221">
                  <c:v>775.2989356188762</c:v>
                </c:pt>
                <c:pt idx="222">
                  <c:v>775.2989356188772</c:v>
                </c:pt>
                <c:pt idx="223">
                  <c:v>775.2989356188767</c:v>
                </c:pt>
                <c:pt idx="224">
                  <c:v>775.2989356188776</c:v>
                </c:pt>
                <c:pt idx="225">
                  <c:v>775.2989356188784</c:v>
                </c:pt>
                <c:pt idx="226">
                  <c:v>775.2989356188765</c:v>
                </c:pt>
                <c:pt idx="227">
                  <c:v>775.298935618877</c:v>
                </c:pt>
                <c:pt idx="228">
                  <c:v>775.2989356188789</c:v>
                </c:pt>
                <c:pt idx="229">
                  <c:v>775.2989356188777</c:v>
                </c:pt>
                <c:pt idx="230">
                  <c:v>775.298935618879</c:v>
                </c:pt>
                <c:pt idx="231">
                  <c:v>775.2989356188784</c:v>
                </c:pt>
                <c:pt idx="232">
                  <c:v>775.2989356188795</c:v>
                </c:pt>
                <c:pt idx="233">
                  <c:v>775.2989356188814</c:v>
                </c:pt>
                <c:pt idx="234">
                  <c:v>775.2989356188801</c:v>
                </c:pt>
                <c:pt idx="235">
                  <c:v>775.2989356188806</c:v>
                </c:pt>
                <c:pt idx="236">
                  <c:v>775.298935618882</c:v>
                </c:pt>
                <c:pt idx="237">
                  <c:v>775.2989356188804</c:v>
                </c:pt>
                <c:pt idx="238">
                  <c:v>775.2989356188889</c:v>
                </c:pt>
                <c:pt idx="239">
                  <c:v>775.2989356188849</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numCache>
            </c:numRef>
          </c:val>
        </c:ser>
        <c:ser>
          <c:idx val="1"/>
          <c:order val="1"/>
          <c:tx>
            <c:v>Actual CAM Regular Payment</c:v>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Calculations!$B$19:$B$319</c:f>
              <c:numCache>
                <c:ptCount val="300"/>
                <c:pt idx="1">
                  <c:v>1</c:v>
                </c:pt>
                <c:pt idx="12">
                  <c:v>1</c:v>
                </c:pt>
                <c:pt idx="13">
                  <c:v>2</c:v>
                </c:pt>
                <c:pt idx="24">
                  <c:v>2</c:v>
                </c:pt>
                <c:pt idx="25">
                  <c:v>3</c:v>
                </c:pt>
                <c:pt idx="36">
                  <c:v>3</c:v>
                </c:pt>
                <c:pt idx="37">
                  <c:v>4</c:v>
                </c:pt>
                <c:pt idx="48">
                  <c:v>4</c:v>
                </c:pt>
                <c:pt idx="49">
                  <c:v>5</c:v>
                </c:pt>
                <c:pt idx="60">
                  <c:v>5</c:v>
                </c:pt>
                <c:pt idx="61">
                  <c:v>6</c:v>
                </c:pt>
                <c:pt idx="72">
                  <c:v>6</c:v>
                </c:pt>
                <c:pt idx="73">
                  <c:v>7</c:v>
                </c:pt>
                <c:pt idx="84">
                  <c:v>7</c:v>
                </c:pt>
                <c:pt idx="85">
                  <c:v>8</c:v>
                </c:pt>
                <c:pt idx="96">
                  <c:v>8</c:v>
                </c:pt>
                <c:pt idx="97">
                  <c:v>9</c:v>
                </c:pt>
                <c:pt idx="108">
                  <c:v>9</c:v>
                </c:pt>
                <c:pt idx="109">
                  <c:v>10</c:v>
                </c:pt>
                <c:pt idx="120">
                  <c:v>10</c:v>
                </c:pt>
                <c:pt idx="121">
                  <c:v>11</c:v>
                </c:pt>
                <c:pt idx="132">
                  <c:v>11</c:v>
                </c:pt>
                <c:pt idx="133">
                  <c:v>12</c:v>
                </c:pt>
                <c:pt idx="144">
                  <c:v>12</c:v>
                </c:pt>
                <c:pt idx="145">
                  <c:v>13</c:v>
                </c:pt>
                <c:pt idx="156">
                  <c:v>13</c:v>
                </c:pt>
                <c:pt idx="157">
                  <c:v>14</c:v>
                </c:pt>
                <c:pt idx="168">
                  <c:v>14</c:v>
                </c:pt>
                <c:pt idx="169">
                  <c:v>15</c:v>
                </c:pt>
                <c:pt idx="180">
                  <c:v>15</c:v>
                </c:pt>
                <c:pt idx="181">
                  <c:v>16</c:v>
                </c:pt>
                <c:pt idx="192">
                  <c:v>16</c:v>
                </c:pt>
                <c:pt idx="193">
                  <c:v>17</c:v>
                </c:pt>
                <c:pt idx="204">
                  <c:v>17</c:v>
                </c:pt>
                <c:pt idx="205">
                  <c:v>18</c:v>
                </c:pt>
                <c:pt idx="216">
                  <c:v>18</c:v>
                </c:pt>
                <c:pt idx="217">
                  <c:v>19</c:v>
                </c:pt>
                <c:pt idx="228">
                  <c:v>19</c:v>
                </c:pt>
                <c:pt idx="229">
                  <c:v>20</c:v>
                </c:pt>
                <c:pt idx="240">
                  <c:v>20</c:v>
                </c:pt>
                <c:pt idx="241">
                  <c:v>21</c:v>
                </c:pt>
                <c:pt idx="252">
                  <c:v>21</c:v>
                </c:pt>
                <c:pt idx="253">
                  <c:v>22</c:v>
                </c:pt>
                <c:pt idx="264">
                  <c:v>22</c:v>
                </c:pt>
                <c:pt idx="265">
                  <c:v>23</c:v>
                </c:pt>
                <c:pt idx="276">
                  <c:v>23</c:v>
                </c:pt>
                <c:pt idx="277">
                  <c:v>24</c:v>
                </c:pt>
                <c:pt idx="288">
                  <c:v>24</c:v>
                </c:pt>
                <c:pt idx="289">
                  <c:v>25</c:v>
                </c:pt>
              </c:numCache>
            </c:numRef>
          </c:cat>
          <c:val>
            <c:numRef>
              <c:f>Calculations!$S$20:$S$319</c:f>
              <c:numCache>
                <c:ptCount val="300"/>
                <c:pt idx="0">
                  <c:v>775.2989356188735</c:v>
                </c:pt>
                <c:pt idx="1">
                  <c:v>775.2989356188735</c:v>
                </c:pt>
                <c:pt idx="2">
                  <c:v>775.2989356188735</c:v>
                </c:pt>
                <c:pt idx="3">
                  <c:v>775.2989356188735</c:v>
                </c:pt>
                <c:pt idx="4">
                  <c:v>775.2989356188735</c:v>
                </c:pt>
                <c:pt idx="5">
                  <c:v>775.2989356188735</c:v>
                </c:pt>
                <c:pt idx="6">
                  <c:v>775.2989356188735</c:v>
                </c:pt>
                <c:pt idx="7">
                  <c:v>775.2989356188735</c:v>
                </c:pt>
                <c:pt idx="8">
                  <c:v>775.2989356188735</c:v>
                </c:pt>
                <c:pt idx="9">
                  <c:v>775.2989356188735</c:v>
                </c:pt>
                <c:pt idx="10">
                  <c:v>775.2989356188735</c:v>
                </c:pt>
                <c:pt idx="11">
                  <c:v>775.2989356188735</c:v>
                </c:pt>
                <c:pt idx="12">
                  <c:v>775.2989356188735</c:v>
                </c:pt>
                <c:pt idx="13">
                  <c:v>775.2989356188735</c:v>
                </c:pt>
                <c:pt idx="14">
                  <c:v>775.2989356188735</c:v>
                </c:pt>
                <c:pt idx="15">
                  <c:v>775.2989356188735</c:v>
                </c:pt>
                <c:pt idx="16">
                  <c:v>775.2989356188735</c:v>
                </c:pt>
                <c:pt idx="17">
                  <c:v>775.2989356188735</c:v>
                </c:pt>
                <c:pt idx="18">
                  <c:v>775.2989356188735</c:v>
                </c:pt>
                <c:pt idx="19">
                  <c:v>775.2989356188735</c:v>
                </c:pt>
                <c:pt idx="20">
                  <c:v>775.2989356188735</c:v>
                </c:pt>
                <c:pt idx="21">
                  <c:v>775.2989356188735</c:v>
                </c:pt>
                <c:pt idx="22">
                  <c:v>775.2989356188735</c:v>
                </c:pt>
                <c:pt idx="23">
                  <c:v>775.2989356188735</c:v>
                </c:pt>
                <c:pt idx="24">
                  <c:v>775.2989356188735</c:v>
                </c:pt>
                <c:pt idx="25">
                  <c:v>775.2989356188735</c:v>
                </c:pt>
                <c:pt idx="26">
                  <c:v>775.2989356188735</c:v>
                </c:pt>
                <c:pt idx="27">
                  <c:v>775.2989356188735</c:v>
                </c:pt>
                <c:pt idx="28">
                  <c:v>775.2989356188735</c:v>
                </c:pt>
                <c:pt idx="29">
                  <c:v>775.2989356188735</c:v>
                </c:pt>
                <c:pt idx="30">
                  <c:v>775.2989356188735</c:v>
                </c:pt>
                <c:pt idx="31">
                  <c:v>775.2989356188735</c:v>
                </c:pt>
                <c:pt idx="32">
                  <c:v>775.2989356188735</c:v>
                </c:pt>
                <c:pt idx="33">
                  <c:v>775.2989356188735</c:v>
                </c:pt>
                <c:pt idx="34">
                  <c:v>775.2989356188735</c:v>
                </c:pt>
                <c:pt idx="35">
                  <c:v>775.2989356188735</c:v>
                </c:pt>
                <c:pt idx="36">
                  <c:v>775.2989356188735</c:v>
                </c:pt>
                <c:pt idx="37">
                  <c:v>775.2989356188735</c:v>
                </c:pt>
                <c:pt idx="38">
                  <c:v>775.2989356188735</c:v>
                </c:pt>
                <c:pt idx="39">
                  <c:v>775.2989356188735</c:v>
                </c:pt>
                <c:pt idx="40">
                  <c:v>775.2989356188735</c:v>
                </c:pt>
                <c:pt idx="41">
                  <c:v>775.2989356188735</c:v>
                </c:pt>
                <c:pt idx="42">
                  <c:v>775.2989356188735</c:v>
                </c:pt>
                <c:pt idx="43">
                  <c:v>775.2989356188735</c:v>
                </c:pt>
                <c:pt idx="44">
                  <c:v>775.2989356188735</c:v>
                </c:pt>
                <c:pt idx="45">
                  <c:v>775.2989356188735</c:v>
                </c:pt>
                <c:pt idx="46">
                  <c:v>775.2989356188735</c:v>
                </c:pt>
                <c:pt idx="47">
                  <c:v>775.2989356188735</c:v>
                </c:pt>
                <c:pt idx="48">
                  <c:v>775.2989356188735</c:v>
                </c:pt>
                <c:pt idx="49">
                  <c:v>775.2989356188735</c:v>
                </c:pt>
                <c:pt idx="50">
                  <c:v>775.2989356188735</c:v>
                </c:pt>
                <c:pt idx="51">
                  <c:v>775.2989356188735</c:v>
                </c:pt>
                <c:pt idx="52">
                  <c:v>775.2989356188735</c:v>
                </c:pt>
                <c:pt idx="53">
                  <c:v>775.2989356188735</c:v>
                </c:pt>
                <c:pt idx="54">
                  <c:v>775.2989356188735</c:v>
                </c:pt>
                <c:pt idx="55">
                  <c:v>775.2989356188735</c:v>
                </c:pt>
                <c:pt idx="56">
                  <c:v>775.2989356188735</c:v>
                </c:pt>
                <c:pt idx="57">
                  <c:v>775.2989356188735</c:v>
                </c:pt>
                <c:pt idx="58">
                  <c:v>775.2989356188735</c:v>
                </c:pt>
                <c:pt idx="59">
                  <c:v>775.2989356188735</c:v>
                </c:pt>
                <c:pt idx="60">
                  <c:v>775.2989356188735</c:v>
                </c:pt>
                <c:pt idx="61">
                  <c:v>775.2989356188735</c:v>
                </c:pt>
                <c:pt idx="62">
                  <c:v>775.2989356188735</c:v>
                </c:pt>
                <c:pt idx="63">
                  <c:v>775.2989356188735</c:v>
                </c:pt>
                <c:pt idx="64">
                  <c:v>775.2989356188735</c:v>
                </c:pt>
                <c:pt idx="65">
                  <c:v>775.2989356188735</c:v>
                </c:pt>
                <c:pt idx="66">
                  <c:v>775.2989356188735</c:v>
                </c:pt>
                <c:pt idx="67">
                  <c:v>775.2989356188735</c:v>
                </c:pt>
                <c:pt idx="68">
                  <c:v>775.2989356188735</c:v>
                </c:pt>
                <c:pt idx="69">
                  <c:v>775.2989356188735</c:v>
                </c:pt>
                <c:pt idx="70">
                  <c:v>775.2989356188735</c:v>
                </c:pt>
                <c:pt idx="71">
                  <c:v>775.2989356188735</c:v>
                </c:pt>
                <c:pt idx="72">
                  <c:v>775.2989356188735</c:v>
                </c:pt>
                <c:pt idx="73">
                  <c:v>775.2989356188735</c:v>
                </c:pt>
                <c:pt idx="74">
                  <c:v>775.2989356188735</c:v>
                </c:pt>
                <c:pt idx="75">
                  <c:v>775.2989356188735</c:v>
                </c:pt>
                <c:pt idx="76">
                  <c:v>775.2989356188735</c:v>
                </c:pt>
                <c:pt idx="77">
                  <c:v>775.2989356188735</c:v>
                </c:pt>
                <c:pt idx="78">
                  <c:v>775.2989356188735</c:v>
                </c:pt>
                <c:pt idx="79">
                  <c:v>775.2989356188735</c:v>
                </c:pt>
                <c:pt idx="80">
                  <c:v>775.2989356188735</c:v>
                </c:pt>
                <c:pt idx="81">
                  <c:v>775.2989356188735</c:v>
                </c:pt>
                <c:pt idx="82">
                  <c:v>775.2989356188735</c:v>
                </c:pt>
                <c:pt idx="83">
                  <c:v>775.2989356188735</c:v>
                </c:pt>
                <c:pt idx="84">
                  <c:v>775.2989356188735</c:v>
                </c:pt>
                <c:pt idx="85">
                  <c:v>775.2989356188735</c:v>
                </c:pt>
                <c:pt idx="86">
                  <c:v>775.2989356188735</c:v>
                </c:pt>
                <c:pt idx="87">
                  <c:v>775.2989356188735</c:v>
                </c:pt>
                <c:pt idx="88">
                  <c:v>775.2989356188735</c:v>
                </c:pt>
                <c:pt idx="89">
                  <c:v>775.2989356188735</c:v>
                </c:pt>
                <c:pt idx="90">
                  <c:v>775.2989356188735</c:v>
                </c:pt>
                <c:pt idx="91">
                  <c:v>775.2989356188735</c:v>
                </c:pt>
                <c:pt idx="92">
                  <c:v>775.2989356188735</c:v>
                </c:pt>
                <c:pt idx="93">
                  <c:v>775.2989356188735</c:v>
                </c:pt>
                <c:pt idx="94">
                  <c:v>775.2989356188735</c:v>
                </c:pt>
                <c:pt idx="95">
                  <c:v>775.2989356188735</c:v>
                </c:pt>
                <c:pt idx="96">
                  <c:v>775.2989356188735</c:v>
                </c:pt>
                <c:pt idx="97">
                  <c:v>775.2989356188735</c:v>
                </c:pt>
                <c:pt idx="98">
                  <c:v>775.2989356188735</c:v>
                </c:pt>
                <c:pt idx="99">
                  <c:v>775.2989356188735</c:v>
                </c:pt>
                <c:pt idx="100">
                  <c:v>775.2989356188735</c:v>
                </c:pt>
                <c:pt idx="101">
                  <c:v>775.2989356188735</c:v>
                </c:pt>
                <c:pt idx="102">
                  <c:v>775.2989356188735</c:v>
                </c:pt>
                <c:pt idx="103">
                  <c:v>775.2989356188735</c:v>
                </c:pt>
                <c:pt idx="104">
                  <c:v>775.2989356188735</c:v>
                </c:pt>
                <c:pt idx="105">
                  <c:v>775.2989356188735</c:v>
                </c:pt>
                <c:pt idx="106">
                  <c:v>775.2989356188735</c:v>
                </c:pt>
                <c:pt idx="107">
                  <c:v>775.2989356188735</c:v>
                </c:pt>
                <c:pt idx="108">
                  <c:v>775.2989356188735</c:v>
                </c:pt>
                <c:pt idx="109">
                  <c:v>775.2989356188735</c:v>
                </c:pt>
                <c:pt idx="110">
                  <c:v>775.2989356188735</c:v>
                </c:pt>
                <c:pt idx="111">
                  <c:v>775.2989356188735</c:v>
                </c:pt>
                <c:pt idx="112">
                  <c:v>775.2989356188735</c:v>
                </c:pt>
                <c:pt idx="113">
                  <c:v>775.2989356188735</c:v>
                </c:pt>
                <c:pt idx="114">
                  <c:v>775.2989356188735</c:v>
                </c:pt>
                <c:pt idx="115">
                  <c:v>775.2989356188735</c:v>
                </c:pt>
                <c:pt idx="116">
                  <c:v>775.2989356188735</c:v>
                </c:pt>
                <c:pt idx="117">
                  <c:v>775.2989356188735</c:v>
                </c:pt>
                <c:pt idx="118">
                  <c:v>775.2989356188735</c:v>
                </c:pt>
                <c:pt idx="119">
                  <c:v>775.2989356188735</c:v>
                </c:pt>
                <c:pt idx="120">
                  <c:v>775.2989356188735</c:v>
                </c:pt>
                <c:pt idx="121">
                  <c:v>775.2989356188735</c:v>
                </c:pt>
                <c:pt idx="122">
                  <c:v>775.2989356188735</c:v>
                </c:pt>
                <c:pt idx="123">
                  <c:v>775.2989356188735</c:v>
                </c:pt>
                <c:pt idx="124">
                  <c:v>775.2989356188735</c:v>
                </c:pt>
                <c:pt idx="125">
                  <c:v>775.2989356188735</c:v>
                </c:pt>
                <c:pt idx="126">
                  <c:v>775.2989356188735</c:v>
                </c:pt>
                <c:pt idx="127">
                  <c:v>775.2989356188735</c:v>
                </c:pt>
                <c:pt idx="128">
                  <c:v>775.2989356188735</c:v>
                </c:pt>
                <c:pt idx="129">
                  <c:v>775.2989356188735</c:v>
                </c:pt>
                <c:pt idx="130">
                  <c:v>775.2989356188735</c:v>
                </c:pt>
                <c:pt idx="131">
                  <c:v>775.2989356188735</c:v>
                </c:pt>
                <c:pt idx="132">
                  <c:v>775.2989356188735</c:v>
                </c:pt>
                <c:pt idx="133">
                  <c:v>775.2989356188735</c:v>
                </c:pt>
                <c:pt idx="134">
                  <c:v>775.2989356188735</c:v>
                </c:pt>
                <c:pt idx="135">
                  <c:v>775.2989356188735</c:v>
                </c:pt>
                <c:pt idx="136">
                  <c:v>775.2989356188735</c:v>
                </c:pt>
                <c:pt idx="137">
                  <c:v>775.2989356188735</c:v>
                </c:pt>
                <c:pt idx="138">
                  <c:v>775.2989356188735</c:v>
                </c:pt>
                <c:pt idx="139">
                  <c:v>775.2989356188735</c:v>
                </c:pt>
                <c:pt idx="140">
                  <c:v>775.2989356188735</c:v>
                </c:pt>
                <c:pt idx="141">
                  <c:v>775.2989356188735</c:v>
                </c:pt>
                <c:pt idx="142">
                  <c:v>775.2989356188735</c:v>
                </c:pt>
                <c:pt idx="143">
                  <c:v>775.2989356188735</c:v>
                </c:pt>
                <c:pt idx="144">
                  <c:v>775.2989356188735</c:v>
                </c:pt>
                <c:pt idx="145">
                  <c:v>775.2989356188735</c:v>
                </c:pt>
                <c:pt idx="146">
                  <c:v>775.2989356188735</c:v>
                </c:pt>
                <c:pt idx="147">
                  <c:v>775.2989356188735</c:v>
                </c:pt>
                <c:pt idx="148">
                  <c:v>775.2989356188735</c:v>
                </c:pt>
                <c:pt idx="149">
                  <c:v>775.2989356188735</c:v>
                </c:pt>
                <c:pt idx="150">
                  <c:v>775.2989356188735</c:v>
                </c:pt>
                <c:pt idx="151">
                  <c:v>775.2989356188735</c:v>
                </c:pt>
                <c:pt idx="152">
                  <c:v>775.2989356188735</c:v>
                </c:pt>
                <c:pt idx="153">
                  <c:v>775.2989356188735</c:v>
                </c:pt>
                <c:pt idx="154">
                  <c:v>775.2989356188735</c:v>
                </c:pt>
                <c:pt idx="155">
                  <c:v>775.2989356188735</c:v>
                </c:pt>
                <c:pt idx="156">
                  <c:v>775.2989356188735</c:v>
                </c:pt>
                <c:pt idx="157">
                  <c:v>775.2989356188735</c:v>
                </c:pt>
                <c:pt idx="158">
                  <c:v>775.2989356188735</c:v>
                </c:pt>
                <c:pt idx="159">
                  <c:v>775.2989356188735</c:v>
                </c:pt>
                <c:pt idx="160">
                  <c:v>775.2989356188735</c:v>
                </c:pt>
                <c:pt idx="161">
                  <c:v>775.2989356188735</c:v>
                </c:pt>
                <c:pt idx="162">
                  <c:v>775.2989356188735</c:v>
                </c:pt>
                <c:pt idx="163">
                  <c:v>775.2989356188735</c:v>
                </c:pt>
                <c:pt idx="164">
                  <c:v>775.2989356188735</c:v>
                </c:pt>
                <c:pt idx="165">
                  <c:v>775.2989356188735</c:v>
                </c:pt>
                <c:pt idx="166">
                  <c:v>775.2989356188735</c:v>
                </c:pt>
                <c:pt idx="167">
                  <c:v>775.2989356188735</c:v>
                </c:pt>
                <c:pt idx="168">
                  <c:v>775.2989356188735</c:v>
                </c:pt>
                <c:pt idx="169">
                  <c:v>775.2989356188735</c:v>
                </c:pt>
                <c:pt idx="170">
                  <c:v>775.2989356188735</c:v>
                </c:pt>
                <c:pt idx="171">
                  <c:v>775.2989356188735</c:v>
                </c:pt>
                <c:pt idx="172">
                  <c:v>775.2989356188735</c:v>
                </c:pt>
                <c:pt idx="173">
                  <c:v>775.2989356188735</c:v>
                </c:pt>
                <c:pt idx="174">
                  <c:v>775.2989356188735</c:v>
                </c:pt>
                <c:pt idx="175">
                  <c:v>775.2989356188735</c:v>
                </c:pt>
                <c:pt idx="176">
                  <c:v>775.2989356188735</c:v>
                </c:pt>
                <c:pt idx="177">
                  <c:v>775.2989356188735</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numCache>
            </c:numRef>
          </c:val>
        </c:ser>
        <c:axId val="28009495"/>
        <c:axId val="50758864"/>
      </c:barChart>
      <c:catAx>
        <c:axId val="28009495"/>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Year ending</a:t>
                </a:r>
              </a:p>
            </c:rich>
          </c:tx>
          <c:layout>
            <c:manualLayout>
              <c:xMode val="factor"/>
              <c:yMode val="factor"/>
              <c:x val="0"/>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0758864"/>
        <c:crossesAt val="0"/>
        <c:auto val="1"/>
        <c:lblOffset val="100"/>
        <c:tickLblSkip val="12"/>
        <c:tickMarkSkip val="12"/>
        <c:noMultiLvlLbl val="0"/>
      </c:catAx>
      <c:valAx>
        <c:axId val="50758864"/>
        <c:scaling>
          <c:orientation val="minMax"/>
          <c:min val="0"/>
        </c:scaling>
        <c:axPos val="l"/>
        <c:title>
          <c:tx>
            <c:rich>
              <a:bodyPr vert="horz" rot="-5400000" anchor="ctr"/>
              <a:lstStyle/>
              <a:p>
                <a:pPr algn="ctr">
                  <a:defRPr/>
                </a:pPr>
                <a:r>
                  <a:rPr lang="en-US" cap="none" sz="1200" b="1" i="0" u="none" baseline="0">
                    <a:solidFill>
                      <a:srgbClr val="000000"/>
                    </a:solidFill>
                    <a:latin typeface="Arial"/>
                    <a:ea typeface="Arial"/>
                    <a:cs typeface="Arial"/>
                  </a:rPr>
                  <a:t>Monthly 
Payment</a:t>
                </a:r>
              </a:p>
            </c:rich>
          </c:tx>
          <c:layout>
            <c:manualLayout>
              <c:xMode val="factor"/>
              <c:yMode val="factor"/>
              <c:x val="0.00025"/>
              <c:y val="-0.001"/>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8009495"/>
        <c:crossesAt val="1"/>
        <c:crossBetween val="between"/>
        <c:dispUnits/>
      </c:valAx>
      <c:spPr>
        <a:solidFill>
          <a:srgbClr val="FFFFFF"/>
        </a:solidFill>
        <a:ln w="3175">
          <a:solidFill>
            <a:srgbClr val="000000"/>
          </a:solidFill>
        </a:ln>
      </c:spPr>
    </c:plotArea>
    <c:legend>
      <c:legendPos val="r"/>
      <c:layout>
        <c:manualLayout>
          <c:xMode val="edge"/>
          <c:yMode val="edge"/>
          <c:x val="0.12225"/>
          <c:y val="0.0545"/>
          <c:w val="0.24125"/>
          <c:h val="0.076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CC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80"/>
  </sheetViews>
  <pageMargins left="0.75" right="0.75" top="1" bottom="1" header="0.5" footer="0.5"/>
  <pageSetup horizontalDpi="300" verticalDpi="300" orientation="landscape" paperSize="9"/>
  <headerFooter>
    <oddHeader>&amp;L&amp;F &amp;A&amp;CPage &amp;P of &amp;N&amp;R&amp;D &amp;T</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80"/>
  </sheetViews>
  <pageMargins left="0.75" right="0.75" top="1" bottom="1" header="0.5" footer="0.5"/>
  <pageSetup horizontalDpi="300" verticalDpi="300" orientation="landscape" paperSize="9"/>
  <headerFooter>
    <oddHeader>&amp;L&amp;F &amp;A&amp;CPage &amp;P of &amp;N&amp;R&amp;D &amp;T</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15450" cy="5715000"/>
    <xdr:graphicFrame>
      <xdr:nvGraphicFramePr>
        <xdr:cNvPr id="1" name="Shape 1025"/>
        <xdr:cNvGraphicFramePr/>
      </xdr:nvGraphicFramePr>
      <xdr:xfrm>
        <a:off x="832256400" y="832256400"/>
        <a:ext cx="9315450" cy="57150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15450" cy="5715000"/>
    <xdr:graphicFrame>
      <xdr:nvGraphicFramePr>
        <xdr:cNvPr id="1" name="Shape 1025"/>
        <xdr:cNvGraphicFramePr/>
      </xdr:nvGraphicFramePr>
      <xdr:xfrm>
        <a:off x="832256400" y="832256400"/>
        <a:ext cx="9315450"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321"/>
  <sheetViews>
    <sheetView showGridLines="0" showRowColHeaders="0" tabSelected="1" zoomScale="80" zoomScaleNormal="80" zoomScalePageLayoutView="0" workbookViewId="0" topLeftCell="A1">
      <pane ySplit="18" topLeftCell="A19" activePane="bottomLeft" state="frozen"/>
      <selection pane="topLeft" activeCell="A1" sqref="A1"/>
      <selection pane="bottomLeft" activeCell="M14" sqref="M14"/>
    </sheetView>
  </sheetViews>
  <sheetFormatPr defaultColWidth="8.88671875" defaultRowHeight="15"/>
  <cols>
    <col min="1" max="1" width="1.33203125" style="2" customWidth="1"/>
    <col min="2" max="2" width="3.10546875" style="0" customWidth="1"/>
    <col min="3" max="3" width="3.21484375" style="0" customWidth="1"/>
    <col min="4" max="4" width="6.21484375" style="0" customWidth="1"/>
    <col min="5" max="5" width="10.10546875" style="0" customWidth="1"/>
    <col min="6" max="6" width="11.6640625" style="0" customWidth="1"/>
    <col min="7" max="7" width="10.77734375" style="0" customWidth="1"/>
    <col min="8" max="8" width="10.6640625" style="0" customWidth="1"/>
    <col min="9" max="9" width="3.4453125" style="0" customWidth="1"/>
    <col min="10" max="10" width="10.3359375" style="0" customWidth="1"/>
    <col min="11" max="11" width="0.23046875" style="0" customWidth="1"/>
    <col min="12" max="12" width="11.3359375" style="0" customWidth="1"/>
    <col min="13" max="13" width="17.6640625" style="0" customWidth="1"/>
    <col min="14" max="14" width="22.77734375" style="0" customWidth="1"/>
    <col min="15" max="15" width="12.77734375" style="0" customWidth="1"/>
    <col min="16" max="16" width="9.3359375" style="0" customWidth="1"/>
    <col min="17" max="17" width="1.2265625" style="0" customWidth="1"/>
    <col min="18" max="18" width="4.21484375" style="0" customWidth="1"/>
    <col min="19" max="19" width="10.77734375" style="0" customWidth="1"/>
    <col min="20" max="20" width="5.88671875" style="0" customWidth="1"/>
    <col min="21" max="21" width="7.3359375" style="0" customWidth="1"/>
  </cols>
  <sheetData>
    <row r="1" spans="2:21" ht="5.25" customHeight="1">
      <c r="B1" s="2"/>
      <c r="C1" s="2"/>
      <c r="D1" s="2"/>
      <c r="E1" s="2"/>
      <c r="F1" s="2"/>
      <c r="G1" s="2"/>
      <c r="H1" s="2"/>
      <c r="I1" s="2"/>
      <c r="J1" s="2"/>
      <c r="K1" s="2"/>
      <c r="L1" s="2"/>
      <c r="M1" s="2"/>
      <c r="N1" s="2"/>
      <c r="O1" s="2"/>
      <c r="P1" s="2"/>
      <c r="Q1" s="2"/>
      <c r="R1" s="2"/>
      <c r="S1" s="2"/>
      <c r="T1" s="2"/>
      <c r="U1" s="2" t="s">
        <v>24</v>
      </c>
    </row>
    <row r="2" spans="2:21" ht="23.25">
      <c r="B2" s="4" t="s">
        <v>41</v>
      </c>
      <c r="C2" s="5"/>
      <c r="D2" s="5"/>
      <c r="E2" s="5"/>
      <c r="F2" s="5"/>
      <c r="G2" s="5"/>
      <c r="H2" s="5"/>
      <c r="I2" s="5"/>
      <c r="J2" s="5"/>
      <c r="K2" s="5"/>
      <c r="L2" s="5"/>
      <c r="M2" s="5"/>
      <c r="N2" s="6"/>
      <c r="O2" s="2"/>
      <c r="P2" s="2"/>
      <c r="Q2" s="2"/>
      <c r="R2" s="2"/>
      <c r="S2" s="2"/>
      <c r="T2" s="2"/>
      <c r="U2" s="2"/>
    </row>
    <row r="3" spans="2:21" ht="4.5" customHeight="1">
      <c r="B3" s="2"/>
      <c r="C3" s="2"/>
      <c r="D3" s="2"/>
      <c r="E3" s="2"/>
      <c r="F3" s="2"/>
      <c r="G3" s="2"/>
      <c r="H3" s="2"/>
      <c r="I3" s="2"/>
      <c r="J3" s="2"/>
      <c r="K3" s="2"/>
      <c r="L3" s="2"/>
      <c r="M3" s="2"/>
      <c r="N3" s="2"/>
      <c r="O3" s="2"/>
      <c r="P3" s="2"/>
      <c r="Q3" s="2"/>
      <c r="R3" s="2"/>
      <c r="S3" s="2"/>
      <c r="T3" s="2"/>
      <c r="U3" s="2"/>
    </row>
    <row r="4" spans="2:21" ht="12.75">
      <c r="B4" s="2" t="s">
        <v>37</v>
      </c>
      <c r="C4" s="2"/>
      <c r="D4" s="2"/>
      <c r="E4" s="2"/>
      <c r="F4" s="2"/>
      <c r="G4" s="2"/>
      <c r="H4" s="2"/>
      <c r="I4" s="2"/>
      <c r="J4" s="2"/>
      <c r="K4" s="2"/>
      <c r="L4" s="2"/>
      <c r="M4" s="2"/>
      <c r="N4" s="2"/>
      <c r="O4" s="2"/>
      <c r="P4" s="2"/>
      <c r="Q4" s="2"/>
      <c r="R4" s="2"/>
      <c r="S4" s="2"/>
      <c r="T4" s="2"/>
      <c r="U4" s="2"/>
    </row>
    <row r="5" spans="2:21" ht="12.75">
      <c r="B5" s="2" t="s">
        <v>45</v>
      </c>
      <c r="C5" s="2"/>
      <c r="D5" s="2"/>
      <c r="E5" s="2"/>
      <c r="F5" s="2"/>
      <c r="G5" s="2"/>
      <c r="H5" s="2"/>
      <c r="I5" s="2"/>
      <c r="J5" s="2"/>
      <c r="K5" s="2"/>
      <c r="L5" s="2"/>
      <c r="M5" s="2"/>
      <c r="N5" s="2"/>
      <c r="O5" s="2"/>
      <c r="P5" s="2"/>
      <c r="Q5" s="2"/>
      <c r="R5" s="2"/>
      <c r="S5" s="2"/>
      <c r="T5" s="2"/>
      <c r="U5" s="2"/>
    </row>
    <row r="6" spans="2:21" ht="16.5" thickBot="1">
      <c r="B6" s="3" t="s">
        <v>21</v>
      </c>
      <c r="C6" s="7"/>
      <c r="D6" s="7"/>
      <c r="E6" s="7"/>
      <c r="F6" s="7"/>
      <c r="G6" s="7"/>
      <c r="H6" s="7"/>
      <c r="I6" s="7"/>
      <c r="J6" s="111" t="s">
        <v>35</v>
      </c>
      <c r="K6" s="110"/>
      <c r="L6" s="110"/>
      <c r="M6" s="110"/>
      <c r="N6" s="7"/>
      <c r="O6" s="2"/>
      <c r="P6" s="2"/>
      <c r="Q6" s="2"/>
      <c r="R6" s="2"/>
      <c r="S6" s="2"/>
      <c r="T6" s="2"/>
      <c r="U6" s="2"/>
    </row>
    <row r="7" spans="2:21" ht="16.5" thickTop="1">
      <c r="B7" s="57"/>
      <c r="C7" s="58"/>
      <c r="D7" s="58"/>
      <c r="E7" s="59" t="s">
        <v>6</v>
      </c>
      <c r="F7" s="106">
        <v>100000</v>
      </c>
      <c r="G7" s="58"/>
      <c r="H7" s="60"/>
      <c r="I7" s="62"/>
      <c r="J7" s="130"/>
      <c r="K7" s="126"/>
      <c r="L7" s="112" t="s">
        <v>42</v>
      </c>
      <c r="M7" s="113">
        <f>P320-$F$7+$A$9</f>
        <v>86071.74454852947</v>
      </c>
      <c r="N7" s="7"/>
      <c r="O7" s="2"/>
      <c r="P7" s="2"/>
      <c r="Q7" s="2"/>
      <c r="R7" s="2"/>
      <c r="S7" s="2"/>
      <c r="T7" s="2"/>
      <c r="U7" s="2"/>
    </row>
    <row r="8" spans="2:21" ht="15.75">
      <c r="B8" s="61"/>
      <c r="C8" s="62"/>
      <c r="D8" s="62"/>
      <c r="E8" s="63" t="s">
        <v>7</v>
      </c>
      <c r="F8" s="107">
        <v>20</v>
      </c>
      <c r="G8" s="62" t="s">
        <v>39</v>
      </c>
      <c r="H8" s="64"/>
      <c r="I8" s="62"/>
      <c r="J8" s="118"/>
      <c r="K8" s="127"/>
      <c r="L8" s="114" t="s">
        <v>19</v>
      </c>
      <c r="M8" s="115">
        <f>S320+G320-H320-F7+INDEX(K20:K319,F8*12,1)</f>
        <v>58554.27595449367</v>
      </c>
      <c r="N8" s="7"/>
      <c r="O8" s="2"/>
      <c r="P8" s="2"/>
      <c r="Q8" s="2"/>
      <c r="R8" s="2"/>
      <c r="S8" s="2"/>
      <c r="T8" s="2"/>
      <c r="U8" s="2"/>
    </row>
    <row r="9" spans="1:21" ht="15.75">
      <c r="A9" s="8">
        <f>IF(F9="r",0,F7)</f>
        <v>0</v>
      </c>
      <c r="B9" s="61"/>
      <c r="C9" s="62"/>
      <c r="D9" s="62"/>
      <c r="E9" s="63" t="s">
        <v>9</v>
      </c>
      <c r="F9" s="107" t="s">
        <v>12</v>
      </c>
      <c r="G9" s="62" t="str">
        <f>IF(F9="r","Repayment","Interest-only")&amp;" mortgage"</f>
        <v>Repayment mortgage</v>
      </c>
      <c r="H9" s="64"/>
      <c r="I9" s="62"/>
      <c r="J9" s="131"/>
      <c r="K9" s="128"/>
      <c r="L9" s="116" t="s">
        <v>14</v>
      </c>
      <c r="M9" s="117">
        <f>M7-M8</f>
        <v>27517.468594035803</v>
      </c>
      <c r="N9" s="7"/>
      <c r="O9" s="2"/>
      <c r="P9" s="2"/>
      <c r="Q9" s="2"/>
      <c r="R9" s="2"/>
      <c r="S9" s="2"/>
      <c r="T9" s="2"/>
      <c r="U9" s="2"/>
    </row>
    <row r="10" spans="2:21" ht="16.5" thickBot="1">
      <c r="B10" s="68"/>
      <c r="C10" s="9"/>
      <c r="D10" s="69"/>
      <c r="E10" s="70" t="s">
        <v>15</v>
      </c>
      <c r="F10" s="108">
        <v>0</v>
      </c>
      <c r="G10" s="9" t="s">
        <v>16</v>
      </c>
      <c r="H10" s="10"/>
      <c r="I10" s="96"/>
      <c r="J10" s="118"/>
      <c r="K10" s="119"/>
      <c r="L10" s="120" t="s">
        <v>17</v>
      </c>
      <c r="M10" s="121" t="str">
        <f>FIXED(INT((F8*12-MIN(T20:T319,300))/12),0)&amp;" years "&amp;FIXED(MOD((F8*12-MIN(T20:T319,300)),12),0)&amp;" months"</f>
        <v>5 years 1 months</v>
      </c>
      <c r="N10" s="7"/>
      <c r="O10" s="2"/>
      <c r="P10" s="2"/>
      <c r="Q10" s="2"/>
      <c r="R10" s="2"/>
      <c r="S10" s="2"/>
      <c r="T10" s="2"/>
      <c r="U10" s="2"/>
    </row>
    <row r="11" spans="2:21" ht="17.25" thickBot="1" thickTop="1">
      <c r="B11" s="158" t="s">
        <v>38</v>
      </c>
      <c r="C11" s="96"/>
      <c r="D11" s="104"/>
      <c r="E11" s="103"/>
      <c r="F11" s="105"/>
      <c r="G11" s="96"/>
      <c r="H11" s="96"/>
      <c r="I11" s="96"/>
      <c r="J11" s="132"/>
      <c r="K11" s="129"/>
      <c r="L11" s="122" t="s">
        <v>34</v>
      </c>
      <c r="M11" s="123" t="str">
        <f>FIXED(INT((MIN(T20:T319,300))/12),0)&amp;" years "&amp;FIXED(MOD((MIN(T20:T319,300)),12),0)&amp;" months"</f>
        <v>14 years 11 months</v>
      </c>
      <c r="N11" s="7"/>
      <c r="O11" s="2"/>
      <c r="P11" s="2"/>
      <c r="Q11" s="2"/>
      <c r="R11" s="2"/>
      <c r="S11" s="2"/>
      <c r="T11" s="2"/>
      <c r="U11" s="2"/>
    </row>
    <row r="12" spans="2:21" ht="4.5" customHeight="1" thickBot="1" thickTop="1">
      <c r="B12" s="7"/>
      <c r="C12" s="7"/>
      <c r="D12" s="7"/>
      <c r="E12" s="7"/>
      <c r="F12" s="7"/>
      <c r="G12" s="7"/>
      <c r="H12" s="7"/>
      <c r="I12" s="7"/>
      <c r="J12" s="7"/>
      <c r="K12" s="7"/>
      <c r="L12" s="2"/>
      <c r="M12" s="2"/>
      <c r="N12" s="7"/>
      <c r="O12" s="2"/>
      <c r="P12" s="2"/>
      <c r="Q12" s="2"/>
      <c r="R12" s="2"/>
      <c r="S12" s="2"/>
      <c r="T12" s="2"/>
      <c r="U12" s="2"/>
    </row>
    <row r="13" spans="2:21" ht="16.5" thickTop="1">
      <c r="B13" s="93"/>
      <c r="C13" s="94"/>
      <c r="D13" s="94"/>
      <c r="E13" s="98" t="s">
        <v>28</v>
      </c>
      <c r="F13" s="106">
        <v>3500</v>
      </c>
      <c r="G13" s="94" t="s">
        <v>32</v>
      </c>
      <c r="H13" s="94"/>
      <c r="I13" s="94"/>
      <c r="J13" s="94"/>
      <c r="K13" s="95"/>
      <c r="L13" s="156"/>
      <c r="M13" s="92"/>
      <c r="N13" s="7"/>
      <c r="O13" s="2"/>
      <c r="P13" s="2"/>
      <c r="Q13" s="2"/>
      <c r="R13" s="2"/>
      <c r="S13" s="2"/>
      <c r="T13" s="2"/>
      <c r="U13" s="2"/>
    </row>
    <row r="14" spans="2:21" ht="15.75">
      <c r="B14" s="95"/>
      <c r="C14" s="96"/>
      <c r="D14" s="96"/>
      <c r="E14" s="99" t="s">
        <v>29</v>
      </c>
      <c r="F14" s="109">
        <v>3400</v>
      </c>
      <c r="G14" s="96" t="str">
        <f>IF(F14&gt;F13,"Too high!","Assumed to occur on the day (D) entered")</f>
        <v>Assumed to occur on the day (D) entered</v>
      </c>
      <c r="H14" s="96"/>
      <c r="I14" s="96"/>
      <c r="J14" s="96"/>
      <c r="K14" s="95"/>
      <c r="L14" s="103"/>
      <c r="M14" s="92"/>
      <c r="N14" s="7"/>
      <c r="O14" s="2"/>
      <c r="P14" s="2"/>
      <c r="Q14" s="2"/>
      <c r="R14" s="2"/>
      <c r="S14" s="2"/>
      <c r="T14" s="2"/>
      <c r="U14" s="2"/>
    </row>
    <row r="15" spans="2:21" ht="15.75">
      <c r="B15" s="95"/>
      <c r="C15" s="96"/>
      <c r="D15" s="96"/>
      <c r="E15" s="99" t="s">
        <v>40</v>
      </c>
      <c r="F15" s="109">
        <v>0</v>
      </c>
      <c r="G15" s="96" t="s">
        <v>33</v>
      </c>
      <c r="H15" s="96"/>
      <c r="I15" s="96"/>
      <c r="J15" s="96"/>
      <c r="K15" s="95"/>
      <c r="L15" s="103"/>
      <c r="M15" s="92"/>
      <c r="N15" s="7"/>
      <c r="O15" s="2"/>
      <c r="P15" s="2"/>
      <c r="Q15" s="2"/>
      <c r="R15" s="2"/>
      <c r="S15" s="2"/>
      <c r="T15" s="2"/>
      <c r="U15" s="2"/>
    </row>
    <row r="16" spans="2:21" ht="16.5" thickBot="1">
      <c r="B16" s="68"/>
      <c r="C16" s="9"/>
      <c r="D16" s="9"/>
      <c r="E16" s="100" t="s">
        <v>30</v>
      </c>
      <c r="F16" s="97">
        <f>F14+F15*52/12</f>
        <v>3400</v>
      </c>
      <c r="G16" s="9" t="str">
        <f>IF(F16&gt;F13,"Too high","All assumed to occur on day (D) entered")</f>
        <v>All assumed to occur on day (D) entered</v>
      </c>
      <c r="H16" s="9"/>
      <c r="I16" s="9"/>
      <c r="J16" s="9"/>
      <c r="K16" s="95"/>
      <c r="L16" s="103"/>
      <c r="M16" s="92"/>
      <c r="N16" s="7"/>
      <c r="O16" s="2"/>
      <c r="P16" s="2"/>
      <c r="Q16" s="2"/>
      <c r="R16" s="2"/>
      <c r="S16" s="2"/>
      <c r="T16" s="2"/>
      <c r="U16" s="2"/>
    </row>
    <row r="17" spans="2:21" ht="16.5" thickBot="1" thickTop="1">
      <c r="B17" s="71" t="s">
        <v>22</v>
      </c>
      <c r="C17" s="7"/>
      <c r="D17" s="7"/>
      <c r="E17" s="7"/>
      <c r="F17" s="7"/>
      <c r="G17" s="7"/>
      <c r="H17" s="7"/>
      <c r="I17" s="7"/>
      <c r="J17" s="7"/>
      <c r="K17" s="7"/>
      <c r="L17" s="7"/>
      <c r="M17" s="7"/>
      <c r="N17" s="7"/>
      <c r="O17" s="2"/>
      <c r="P17" s="2"/>
      <c r="Q17" s="2"/>
      <c r="R17" s="2"/>
      <c r="S17" s="2"/>
      <c r="T17" s="2"/>
      <c r="U17" s="2"/>
    </row>
    <row r="18" spans="2:21" ht="60" customHeight="1" thickTop="1">
      <c r="B18" s="164" t="s">
        <v>2</v>
      </c>
      <c r="C18" s="165"/>
      <c r="D18" s="30" t="s">
        <v>26</v>
      </c>
      <c r="E18" s="30" t="s">
        <v>11</v>
      </c>
      <c r="F18" s="30" t="s">
        <v>25</v>
      </c>
      <c r="G18" s="30" t="s">
        <v>4</v>
      </c>
      <c r="H18" s="30" t="s">
        <v>27</v>
      </c>
      <c r="I18" s="41" t="s">
        <v>31</v>
      </c>
      <c r="J18" s="41" t="s">
        <v>23</v>
      </c>
      <c r="K18" s="24" t="s">
        <v>18</v>
      </c>
      <c r="L18" s="30" t="s">
        <v>8</v>
      </c>
      <c r="M18" s="30" t="s">
        <v>1</v>
      </c>
      <c r="N18" s="47" t="s">
        <v>3</v>
      </c>
      <c r="O18" s="1"/>
      <c r="P18" s="12" t="s">
        <v>5</v>
      </c>
      <c r="Q18" s="166" t="s">
        <v>0</v>
      </c>
      <c r="R18" s="167"/>
      <c r="S18" s="26" t="s">
        <v>20</v>
      </c>
      <c r="T18" s="25" t="s">
        <v>36</v>
      </c>
      <c r="U18" s="1"/>
    </row>
    <row r="19" spans="2:21" ht="15.75">
      <c r="B19" s="78"/>
      <c r="C19" s="2"/>
      <c r="D19" s="85"/>
      <c r="E19" s="31"/>
      <c r="F19" s="162" t="s">
        <v>44</v>
      </c>
      <c r="G19" s="32"/>
      <c r="H19" s="2"/>
      <c r="I19" s="102" t="s">
        <v>10</v>
      </c>
      <c r="J19" s="42">
        <f>F7</f>
        <v>100000</v>
      </c>
      <c r="K19" s="43">
        <f>F7</f>
        <v>100000</v>
      </c>
      <c r="L19" s="72">
        <f>F7</f>
        <v>100000</v>
      </c>
      <c r="M19" s="52" t="s">
        <v>13</v>
      </c>
      <c r="N19" s="48"/>
      <c r="O19" s="1"/>
      <c r="P19" s="14"/>
      <c r="Q19" s="15"/>
      <c r="R19" s="16"/>
      <c r="S19" s="163" t="s">
        <v>43</v>
      </c>
      <c r="T19" s="27"/>
      <c r="U19" s="2"/>
    </row>
    <row r="20" spans="2:21" ht="15.75">
      <c r="B20" s="33">
        <v>1</v>
      </c>
      <c r="C20" s="34">
        <v>1</v>
      </c>
      <c r="D20" s="142">
        <v>7</v>
      </c>
      <c r="E20" s="159">
        <f>P20</f>
        <v>775.2989356188735</v>
      </c>
      <c r="F20" s="55">
        <f>E20</f>
        <v>775.2989356188735</v>
      </c>
      <c r="G20" s="37">
        <f>F13</f>
        <v>3500</v>
      </c>
      <c r="H20" s="35">
        <f>F16</f>
        <v>3400</v>
      </c>
      <c r="I20" s="140">
        <v>30</v>
      </c>
      <c r="J20" s="65">
        <f>IF(ROUND(IF(R20&gt;$F$8*12,0,K20),0)&gt;ROUND(L20,0),"Pmt too low!",IF(AND(K20&gt;1,R20&lt;=$F$8*12),K20,"Loan repaid"))</f>
        <v>99687.6177310478</v>
      </c>
      <c r="K20" s="44">
        <f aca="true" t="shared" si="0" ref="K20:K79">IF(F$8*12&lt;R20,0,MAX((K19-G20)*(1+D20/1200)-F20+H20*(1-D20*(I20-30)/36000),0))</f>
        <v>99687.6177310478</v>
      </c>
      <c r="L20" s="73">
        <f aca="true" t="shared" si="1" ref="L20:L79">IF(F$8*12&lt;R20,0,L19*(1+D20/1200)-P20)</f>
        <v>99808.03439771445</v>
      </c>
      <c r="M20" s="151" t="str">
        <f aca="true" t="shared" si="2" ref="M20:M78">IF(R20=$T$320,"Final payment=£"&amp;FIXED(S20,2),IF(R20&gt;$F$8*12,"Loan terminated",IF(ROUND(K20,0)&gt;ROUND(L20,0),"£"&amp;FIXED(K20-L20,0)&amp;" short","Reserve £"&amp;FIXED(L20-K20,0))&amp;IF(G20&gt;K19," Credit too big","")))</f>
        <v>Reserve £120</v>
      </c>
      <c r="N20" s="49"/>
      <c r="O20" s="3"/>
      <c r="P20" s="17">
        <f aca="true" t="shared" si="3" ref="P20:P83">IF(R19&lt;F$8*12,PMT(D20/1200,F$8*12-R19,-L19,$A$9),0)</f>
        <v>775.2989356188735</v>
      </c>
      <c r="Q20" s="11"/>
      <c r="R20" s="18">
        <v>1</v>
      </c>
      <c r="S20" s="87">
        <f aca="true" t="shared" si="4" ref="S20:S79">IF(R20&gt;$F$8*12,0,IF(K20&gt;0,F20,(MAX(K19-G20,0))*(1+D20/1200)))</f>
        <v>775.2989356188735</v>
      </c>
      <c r="T20" s="18">
        <f aca="true" t="shared" si="5" ref="T20:T83">IF(F$9="r",IF(K20&gt;0.1,"",R20),IF(AND(K20&gt;0,R20&lt;$F$8*12),"",R20))</f>
      </c>
      <c r="U20" s="2"/>
    </row>
    <row r="21" spans="2:21" ht="15">
      <c r="B21" s="36"/>
      <c r="C21" s="39">
        <v>2</v>
      </c>
      <c r="D21" s="143">
        <f aca="true" t="shared" si="6" ref="D21:D83">D20</f>
        <v>7</v>
      </c>
      <c r="E21" s="160">
        <f>IF(F$8*12&gt;R20,MAX(PMT(D21/1200,F$8*12-R20,-K20,A$9)+IF(K20&gt;L20,(K20-L20),0),0),0)</f>
        <v>774.3635508669263</v>
      </c>
      <c r="F21" s="55">
        <f aca="true" t="shared" si="7" ref="F21:F31">F20</f>
        <v>775.2989356188735</v>
      </c>
      <c r="G21" s="37">
        <f>MIN(G20,K20)</f>
        <v>3500</v>
      </c>
      <c r="H21" s="38">
        <f>IF(G21=K20,0,H20)</f>
        <v>3400</v>
      </c>
      <c r="I21" s="141">
        <f aca="true" t="shared" si="8" ref="I21:I31">I20</f>
        <v>30</v>
      </c>
      <c r="J21" s="66">
        <f>IF(ROUND(IF(R21&gt;$F$8*12,0,K21),0)&gt;ROUND(L21,0),"Pmt too low!",IF(AND(K21&gt;1,R21&lt;=$F$8*12),K21,"Loan repaid"))</f>
        <v>99373.41323219336</v>
      </c>
      <c r="K21" s="45">
        <f t="shared" si="0"/>
        <v>99373.41323219336</v>
      </c>
      <c r="L21" s="74">
        <f t="shared" si="1"/>
        <v>99614.94899608224</v>
      </c>
      <c r="M21" s="152" t="str">
        <f t="shared" si="2"/>
        <v>Reserve £242</v>
      </c>
      <c r="N21" s="50"/>
      <c r="O21" s="2"/>
      <c r="P21" s="17">
        <f t="shared" si="3"/>
        <v>775.2989356188733</v>
      </c>
      <c r="Q21" s="11"/>
      <c r="R21" s="18">
        <f>R20+1</f>
        <v>2</v>
      </c>
      <c r="S21" s="88">
        <f t="shared" si="4"/>
        <v>775.2989356188735</v>
      </c>
      <c r="T21" s="18">
        <f t="shared" si="5"/>
      </c>
      <c r="U21" s="2"/>
    </row>
    <row r="22" spans="2:21" ht="15">
      <c r="B22" s="36"/>
      <c r="C22" s="39">
        <v>3</v>
      </c>
      <c r="D22" s="143">
        <f t="shared" si="6"/>
        <v>7</v>
      </c>
      <c r="E22" s="160">
        <f aca="true" t="shared" si="9" ref="E22:E85">IF(F$8*12&gt;R21,MAX(PMT(D22/1200,F$8*12-R21,-K21,A$9)+IF(K21&gt;L21,(K21-L21),0),0),0)</f>
        <v>773.4190729823498</v>
      </c>
      <c r="F22" s="55">
        <f t="shared" si="7"/>
        <v>775.2989356188735</v>
      </c>
      <c r="G22" s="37">
        <f aca="true" t="shared" si="10" ref="G22:G31">MIN(G21,K21)</f>
        <v>3500</v>
      </c>
      <c r="H22" s="38">
        <f aca="true" t="shared" si="11" ref="H22:H31">IF(G22=K21,0,H21)</f>
        <v>3400</v>
      </c>
      <c r="I22" s="141">
        <f t="shared" si="8"/>
        <v>30</v>
      </c>
      <c r="J22" s="66">
        <f aca="true" t="shared" si="12" ref="J22:J85">IF(ROUND(IF(R22&gt;$F$8*12,0,K22),0)&gt;ROUND(L22,0),"Pmt too low!",IF(AND(K22&gt;1,R22&lt;=$F$8*12),K22,"Loan repaid"))</f>
        <v>99057.37587376227</v>
      </c>
      <c r="K22" s="45">
        <f t="shared" si="0"/>
        <v>99057.37587376227</v>
      </c>
      <c r="L22" s="74">
        <f t="shared" si="1"/>
        <v>99420.73726294051</v>
      </c>
      <c r="M22" s="152" t="str">
        <f t="shared" si="2"/>
        <v>Reserve £363</v>
      </c>
      <c r="N22" s="50"/>
      <c r="O22" s="2"/>
      <c r="P22" s="17">
        <f t="shared" si="3"/>
        <v>775.2989356188734</v>
      </c>
      <c r="Q22" s="11"/>
      <c r="R22" s="18">
        <f aca="true" t="shared" si="13" ref="R22:R43">R21+1</f>
        <v>3</v>
      </c>
      <c r="S22" s="88">
        <f t="shared" si="4"/>
        <v>775.2989356188735</v>
      </c>
      <c r="T22" s="18">
        <f t="shared" si="5"/>
      </c>
      <c r="U22" s="2"/>
    </row>
    <row r="23" spans="2:21" ht="15">
      <c r="B23" s="36"/>
      <c r="C23" s="39">
        <v>4</v>
      </c>
      <c r="D23" s="143">
        <f t="shared" si="6"/>
        <v>7</v>
      </c>
      <c r="E23" s="160">
        <f t="shared" si="9"/>
        <v>772.4653849328647</v>
      </c>
      <c r="F23" s="55">
        <f t="shared" si="7"/>
        <v>775.2989356188735</v>
      </c>
      <c r="G23" s="37">
        <f t="shared" si="10"/>
        <v>3500</v>
      </c>
      <c r="H23" s="38">
        <f t="shared" si="11"/>
        <v>3400</v>
      </c>
      <c r="I23" s="141">
        <f t="shared" si="8"/>
        <v>30</v>
      </c>
      <c r="J23" s="66">
        <f t="shared" si="12"/>
        <v>98739.49496407367</v>
      </c>
      <c r="K23" s="45">
        <f t="shared" si="0"/>
        <v>98739.49496407367</v>
      </c>
      <c r="L23" s="74">
        <f t="shared" si="1"/>
        <v>99225.39262802212</v>
      </c>
      <c r="M23" s="152" t="str">
        <f t="shared" si="2"/>
        <v>Reserve £486</v>
      </c>
      <c r="N23" s="50"/>
      <c r="O23" s="2"/>
      <c r="P23" s="17">
        <f t="shared" si="3"/>
        <v>775.2989356188733</v>
      </c>
      <c r="Q23" s="11"/>
      <c r="R23" s="18">
        <f t="shared" si="13"/>
        <v>4</v>
      </c>
      <c r="S23" s="88">
        <f t="shared" si="4"/>
        <v>775.2989356188735</v>
      </c>
      <c r="T23" s="18">
        <f t="shared" si="5"/>
      </c>
      <c r="U23" s="2"/>
    </row>
    <row r="24" spans="2:21" ht="15">
      <c r="B24" s="36"/>
      <c r="C24" s="39">
        <v>5</v>
      </c>
      <c r="D24" s="143">
        <f t="shared" si="6"/>
        <v>7</v>
      </c>
      <c r="E24" s="160">
        <f t="shared" si="9"/>
        <v>771.5023677071578</v>
      </c>
      <c r="F24" s="55">
        <f t="shared" si="7"/>
        <v>775.2989356188735</v>
      </c>
      <c r="G24" s="37">
        <f t="shared" si="10"/>
        <v>3500</v>
      </c>
      <c r="H24" s="38">
        <f t="shared" si="11"/>
        <v>3400</v>
      </c>
      <c r="I24" s="141">
        <f t="shared" si="8"/>
        <v>30</v>
      </c>
      <c r="J24" s="66">
        <f t="shared" si="12"/>
        <v>98419.75974907856</v>
      </c>
      <c r="K24" s="45">
        <f t="shared" si="0"/>
        <v>98419.75974907856</v>
      </c>
      <c r="L24" s="74">
        <f t="shared" si="1"/>
        <v>99028.90848273337</v>
      </c>
      <c r="M24" s="152" t="str">
        <f t="shared" si="2"/>
        <v>Reserve £609</v>
      </c>
      <c r="N24" s="50"/>
      <c r="O24" s="2"/>
      <c r="P24" s="17">
        <f t="shared" si="3"/>
        <v>775.2989356188733</v>
      </c>
      <c r="Q24" s="11"/>
      <c r="R24" s="18">
        <f t="shared" si="13"/>
        <v>5</v>
      </c>
      <c r="S24" s="88">
        <f t="shared" si="4"/>
        <v>775.2989356188735</v>
      </c>
      <c r="T24" s="18">
        <f t="shared" si="5"/>
      </c>
      <c r="U24" s="2"/>
    </row>
    <row r="25" spans="2:21" ht="15">
      <c r="B25" s="36"/>
      <c r="C25" s="39">
        <v>6</v>
      </c>
      <c r="D25" s="143">
        <f t="shared" si="6"/>
        <v>7</v>
      </c>
      <c r="E25" s="160">
        <f t="shared" si="9"/>
        <v>770.5299002728106</v>
      </c>
      <c r="F25" s="55">
        <f t="shared" si="7"/>
        <v>775.2989356188735</v>
      </c>
      <c r="G25" s="37">
        <f t="shared" si="10"/>
        <v>3500</v>
      </c>
      <c r="H25" s="38">
        <f t="shared" si="11"/>
        <v>3400</v>
      </c>
      <c r="I25" s="141">
        <f t="shared" si="8"/>
        <v>30</v>
      </c>
      <c r="J25" s="66">
        <f t="shared" si="12"/>
        <v>98098.15941199598</v>
      </c>
      <c r="K25" s="45">
        <f t="shared" si="0"/>
        <v>98098.15941199598</v>
      </c>
      <c r="L25" s="74">
        <f t="shared" si="1"/>
        <v>98831.27817993044</v>
      </c>
      <c r="M25" s="152" t="str">
        <f t="shared" si="2"/>
        <v>Reserve £733</v>
      </c>
      <c r="N25" s="50"/>
      <c r="O25" s="2"/>
      <c r="P25" s="17">
        <f t="shared" si="3"/>
        <v>775.2989356188733</v>
      </c>
      <c r="Q25" s="11"/>
      <c r="R25" s="18">
        <f t="shared" si="13"/>
        <v>6</v>
      </c>
      <c r="S25" s="88">
        <f t="shared" si="4"/>
        <v>775.2989356188735</v>
      </c>
      <c r="T25" s="18">
        <f t="shared" si="5"/>
      </c>
      <c r="U25" s="2"/>
    </row>
    <row r="26" spans="2:21" ht="15">
      <c r="B26" s="36"/>
      <c r="C26" s="39">
        <v>7</v>
      </c>
      <c r="D26" s="143">
        <f t="shared" si="6"/>
        <v>7</v>
      </c>
      <c r="E26" s="160">
        <f t="shared" si="9"/>
        <v>769.5478595331526</v>
      </c>
      <c r="F26" s="55">
        <f t="shared" si="7"/>
        <v>775.2989356188735</v>
      </c>
      <c r="G26" s="37">
        <f t="shared" si="10"/>
        <v>3500</v>
      </c>
      <c r="H26" s="38">
        <f t="shared" si="11"/>
        <v>3400</v>
      </c>
      <c r="I26" s="141">
        <f t="shared" si="8"/>
        <v>30</v>
      </c>
      <c r="J26" s="66">
        <f t="shared" si="12"/>
        <v>97774.68307294708</v>
      </c>
      <c r="K26" s="45">
        <f t="shared" si="0"/>
        <v>97774.68307294708</v>
      </c>
      <c r="L26" s="74">
        <f t="shared" si="1"/>
        <v>98632.49503369449</v>
      </c>
      <c r="M26" s="152" t="str">
        <f t="shared" si="2"/>
        <v>Reserve £858</v>
      </c>
      <c r="N26" s="50"/>
      <c r="O26" s="2"/>
      <c r="P26" s="17">
        <f t="shared" si="3"/>
        <v>775.2989356188732</v>
      </c>
      <c r="Q26" s="11"/>
      <c r="R26" s="18">
        <f t="shared" si="13"/>
        <v>7</v>
      </c>
      <c r="S26" s="88">
        <f t="shared" si="4"/>
        <v>775.2989356188735</v>
      </c>
      <c r="T26" s="18">
        <f t="shared" si="5"/>
      </c>
      <c r="U26" s="2"/>
    </row>
    <row r="27" spans="2:21" ht="15">
      <c r="B27" s="36"/>
      <c r="C27" s="39">
        <v>8</v>
      </c>
      <c r="D27" s="143">
        <f t="shared" si="6"/>
        <v>7</v>
      </c>
      <c r="E27" s="160">
        <f t="shared" si="9"/>
        <v>768.5561202830003</v>
      </c>
      <c r="F27" s="55">
        <f t="shared" si="7"/>
        <v>775.2989356188735</v>
      </c>
      <c r="G27" s="37">
        <f t="shared" si="10"/>
        <v>3500</v>
      </c>
      <c r="H27" s="38">
        <f t="shared" si="11"/>
        <v>3400</v>
      </c>
      <c r="I27" s="141">
        <f t="shared" si="8"/>
        <v>30</v>
      </c>
      <c r="J27" s="66">
        <f t="shared" si="12"/>
        <v>97449.31978858706</v>
      </c>
      <c r="K27" s="45">
        <f t="shared" si="0"/>
        <v>97449.31978858706</v>
      </c>
      <c r="L27" s="74">
        <f t="shared" si="1"/>
        <v>98432.5523191055</v>
      </c>
      <c r="M27" s="152" t="str">
        <f t="shared" si="2"/>
        <v>Reserve £983</v>
      </c>
      <c r="N27" s="50"/>
      <c r="O27" s="2"/>
      <c r="P27" s="17">
        <f t="shared" si="3"/>
        <v>775.2989356188732</v>
      </c>
      <c r="Q27" s="11"/>
      <c r="R27" s="18">
        <f t="shared" si="13"/>
        <v>8</v>
      </c>
      <c r="S27" s="88">
        <f t="shared" si="4"/>
        <v>775.2989356188735</v>
      </c>
      <c r="T27" s="18">
        <f t="shared" si="5"/>
      </c>
      <c r="U27" s="2"/>
    </row>
    <row r="28" spans="2:21" ht="15">
      <c r="B28" s="36"/>
      <c r="C28" s="39">
        <v>9</v>
      </c>
      <c r="D28" s="143">
        <f t="shared" si="6"/>
        <v>7</v>
      </c>
      <c r="E28" s="160">
        <f t="shared" si="9"/>
        <v>767.5545551632541</v>
      </c>
      <c r="F28" s="55">
        <f t="shared" si="7"/>
        <v>775.2989356188735</v>
      </c>
      <c r="G28" s="37">
        <f t="shared" si="10"/>
        <v>3500</v>
      </c>
      <c r="H28" s="38">
        <f t="shared" si="11"/>
        <v>3400</v>
      </c>
      <c r="I28" s="141">
        <f t="shared" si="8"/>
        <v>30</v>
      </c>
      <c r="J28" s="66">
        <f t="shared" si="12"/>
        <v>97122.05855173494</v>
      </c>
      <c r="K28" s="45">
        <f t="shared" si="0"/>
        <v>97122.05855173494</v>
      </c>
      <c r="L28" s="74">
        <f t="shared" si="1"/>
        <v>98231.44327201473</v>
      </c>
      <c r="M28" s="152" t="str">
        <f t="shared" si="2"/>
        <v>Reserve £1,109</v>
      </c>
      <c r="N28" s="50"/>
      <c r="O28" s="2"/>
      <c r="P28" s="17">
        <f t="shared" si="3"/>
        <v>775.2989356188732</v>
      </c>
      <c r="Q28" s="11"/>
      <c r="R28" s="18">
        <f t="shared" si="13"/>
        <v>9</v>
      </c>
      <c r="S28" s="88">
        <f t="shared" si="4"/>
        <v>775.2989356188735</v>
      </c>
      <c r="T28" s="18">
        <f t="shared" si="5"/>
      </c>
      <c r="U28" s="2"/>
    </row>
    <row r="29" spans="2:21" ht="15">
      <c r="B29" s="36"/>
      <c r="C29" s="39">
        <v>10</v>
      </c>
      <c r="D29" s="143">
        <f t="shared" si="6"/>
        <v>7</v>
      </c>
      <c r="E29" s="160">
        <f t="shared" si="9"/>
        <v>766.5430346143137</v>
      </c>
      <c r="F29" s="55">
        <f t="shared" si="7"/>
        <v>775.2989356188735</v>
      </c>
      <c r="G29" s="37">
        <f t="shared" si="10"/>
        <v>3500</v>
      </c>
      <c r="H29" s="38">
        <f t="shared" si="11"/>
        <v>3400</v>
      </c>
      <c r="I29" s="141">
        <f t="shared" si="8"/>
        <v>30</v>
      </c>
      <c r="J29" s="66">
        <f t="shared" si="12"/>
        <v>96792.88829100119</v>
      </c>
      <c r="K29" s="45">
        <f t="shared" si="0"/>
        <v>96792.88829100119</v>
      </c>
      <c r="L29" s="74">
        <f t="shared" si="1"/>
        <v>98029.16108881595</v>
      </c>
      <c r="M29" s="152" t="str">
        <f t="shared" si="2"/>
        <v>Reserve £1,236</v>
      </c>
      <c r="N29" s="50"/>
      <c r="O29" s="2"/>
      <c r="P29" s="17">
        <f t="shared" si="3"/>
        <v>775.2989356188732</v>
      </c>
      <c r="Q29" s="11"/>
      <c r="R29" s="18">
        <f t="shared" si="13"/>
        <v>10</v>
      </c>
      <c r="S29" s="88">
        <f t="shared" si="4"/>
        <v>775.2989356188735</v>
      </c>
      <c r="T29" s="18">
        <f t="shared" si="5"/>
      </c>
      <c r="U29" s="2"/>
    </row>
    <row r="30" spans="2:21" ht="15">
      <c r="B30" s="36"/>
      <c r="C30" s="39">
        <v>11</v>
      </c>
      <c r="D30" s="143">
        <f t="shared" si="6"/>
        <v>7</v>
      </c>
      <c r="E30" s="160">
        <f t="shared" si="9"/>
        <v>765.5214268282803</v>
      </c>
      <c r="F30" s="55">
        <f t="shared" si="7"/>
        <v>775.2989356188735</v>
      </c>
      <c r="G30" s="37">
        <f t="shared" si="10"/>
        <v>3500</v>
      </c>
      <c r="H30" s="38">
        <f t="shared" si="11"/>
        <v>3400</v>
      </c>
      <c r="I30" s="141">
        <f t="shared" si="8"/>
        <v>30</v>
      </c>
      <c r="J30" s="66">
        <f t="shared" si="12"/>
        <v>96461.79787041315</v>
      </c>
      <c r="K30" s="45">
        <f t="shared" si="0"/>
        <v>96461.79787041315</v>
      </c>
      <c r="L30" s="74">
        <f t="shared" si="1"/>
        <v>97825.69892621516</v>
      </c>
      <c r="M30" s="152" t="str">
        <f t="shared" si="2"/>
        <v>Reserve £1,364</v>
      </c>
      <c r="N30" s="50"/>
      <c r="O30" s="2"/>
      <c r="P30" s="17">
        <f t="shared" si="3"/>
        <v>775.2989356188731</v>
      </c>
      <c r="Q30" s="11"/>
      <c r="R30" s="18">
        <f t="shared" si="13"/>
        <v>11</v>
      </c>
      <c r="S30" s="88">
        <f t="shared" si="4"/>
        <v>775.2989356188735</v>
      </c>
      <c r="T30" s="18">
        <f t="shared" si="5"/>
      </c>
      <c r="U30" s="2"/>
    </row>
    <row r="31" spans="2:21" ht="15">
      <c r="B31" s="77">
        <f>B20</f>
        <v>1</v>
      </c>
      <c r="C31" s="40">
        <v>12</v>
      </c>
      <c r="D31" s="155">
        <f t="shared" si="6"/>
        <v>7</v>
      </c>
      <c r="E31" s="160">
        <f t="shared" si="9"/>
        <v>764.4895976999044</v>
      </c>
      <c r="F31" s="55">
        <f t="shared" si="7"/>
        <v>775.2989356188735</v>
      </c>
      <c r="G31" s="135">
        <f t="shared" si="10"/>
        <v>3500</v>
      </c>
      <c r="H31" s="38">
        <f t="shared" si="11"/>
        <v>3400</v>
      </c>
      <c r="I31" s="141">
        <f t="shared" si="8"/>
        <v>30</v>
      </c>
      <c r="J31" s="66">
        <f t="shared" si="12"/>
        <v>96128.77608903835</v>
      </c>
      <c r="K31" s="46">
        <f t="shared" si="0"/>
        <v>96128.77608903835</v>
      </c>
      <c r="L31" s="75">
        <f t="shared" si="1"/>
        <v>97621.0499009992</v>
      </c>
      <c r="M31" s="153" t="str">
        <f t="shared" si="2"/>
        <v>Reserve £1,492</v>
      </c>
      <c r="N31" s="51"/>
      <c r="O31" s="2"/>
      <c r="P31" s="19">
        <f t="shared" si="3"/>
        <v>775.2989356188731</v>
      </c>
      <c r="Q31" s="13"/>
      <c r="R31" s="20">
        <f t="shared" si="13"/>
        <v>12</v>
      </c>
      <c r="S31" s="89">
        <f t="shared" si="4"/>
        <v>775.2989356188735</v>
      </c>
      <c r="T31" s="133">
        <f t="shared" si="5"/>
      </c>
      <c r="U31" s="2"/>
    </row>
    <row r="32" spans="2:21" ht="15">
      <c r="B32" s="28">
        <f>B31+1</f>
        <v>2</v>
      </c>
      <c r="C32" s="147">
        <f>C20</f>
        <v>1</v>
      </c>
      <c r="D32" s="142">
        <f t="shared" si="6"/>
        <v>7</v>
      </c>
      <c r="E32" s="159">
        <f t="shared" si="9"/>
        <v>763.4474107762446</v>
      </c>
      <c r="F32" s="56">
        <f>F31*(1+$F$10/100)</f>
        <v>775.2989356188735</v>
      </c>
      <c r="G32" s="37">
        <f aca="true" t="shared" si="14" ref="G32:G79">IF($F$8*12&lt;R32,0,MIN(G20,K31))</f>
        <v>3500</v>
      </c>
      <c r="H32" s="35">
        <f aca="true" t="shared" si="15" ref="H32:H95">IF($F$8*12&lt;R32,0,IF(G32=K31,0,H20))</f>
        <v>3400</v>
      </c>
      <c r="I32" s="140">
        <f>I20</f>
        <v>30</v>
      </c>
      <c r="J32" s="65">
        <f t="shared" si="12"/>
        <v>95793.81168060553</v>
      </c>
      <c r="K32" s="44">
        <f t="shared" si="0"/>
        <v>95793.81168060553</v>
      </c>
      <c r="L32" s="73">
        <f t="shared" si="1"/>
        <v>97415.20708980283</v>
      </c>
      <c r="M32" s="151" t="str">
        <f t="shared" si="2"/>
        <v>Reserve £1,621</v>
      </c>
      <c r="N32" s="148"/>
      <c r="O32" s="3"/>
      <c r="P32" s="17">
        <f t="shared" si="3"/>
        <v>775.2989356188731</v>
      </c>
      <c r="Q32" s="11"/>
      <c r="R32" s="18">
        <f t="shared" si="13"/>
        <v>13</v>
      </c>
      <c r="S32" s="87">
        <f t="shared" si="4"/>
        <v>775.2989356188735</v>
      </c>
      <c r="T32" s="18">
        <f t="shared" si="5"/>
      </c>
      <c r="U32" s="2"/>
    </row>
    <row r="33" spans="2:21" ht="15">
      <c r="B33" s="29"/>
      <c r="C33" s="39">
        <f>C21</f>
        <v>2</v>
      </c>
      <c r="D33" s="143">
        <f t="shared" si="6"/>
        <v>7</v>
      </c>
      <c r="E33" s="160">
        <f t="shared" si="9"/>
        <v>762.3947272049943</v>
      </c>
      <c r="F33" s="55">
        <f aca="true" t="shared" si="16" ref="F33:F96">F32</f>
        <v>775.2989356188735</v>
      </c>
      <c r="G33" s="37">
        <f t="shared" si="14"/>
        <v>3500</v>
      </c>
      <c r="H33" s="38">
        <f t="shared" si="15"/>
        <v>3400</v>
      </c>
      <c r="I33" s="141">
        <f>I21</f>
        <v>30</v>
      </c>
      <c r="J33" s="66">
        <f t="shared" si="12"/>
        <v>95456.89331312352</v>
      </c>
      <c r="K33" s="45">
        <f t="shared" si="0"/>
        <v>95456.89331312352</v>
      </c>
      <c r="L33" s="74">
        <f t="shared" si="1"/>
        <v>97208.16352887447</v>
      </c>
      <c r="M33" s="152" t="str">
        <f t="shared" si="2"/>
        <v>Reserve £1,751</v>
      </c>
      <c r="N33" s="50"/>
      <c r="O33" s="2"/>
      <c r="P33" s="17">
        <f t="shared" si="3"/>
        <v>775.2989356188732</v>
      </c>
      <c r="Q33" s="11"/>
      <c r="R33" s="18">
        <f t="shared" si="13"/>
        <v>14</v>
      </c>
      <c r="S33" s="88">
        <f t="shared" si="4"/>
        <v>775.2989356188735</v>
      </c>
      <c r="T33" s="18">
        <f t="shared" si="5"/>
      </c>
      <c r="U33" s="2"/>
    </row>
    <row r="34" spans="2:21" ht="15">
      <c r="B34" s="29"/>
      <c r="C34" s="39">
        <f>C22</f>
        <v>3</v>
      </c>
      <c r="D34" s="143">
        <f t="shared" si="6"/>
        <v>7</v>
      </c>
      <c r="E34" s="160">
        <f t="shared" si="9"/>
        <v>761.3314056814369</v>
      </c>
      <c r="F34" s="55">
        <f t="shared" si="16"/>
        <v>775.2989356188735</v>
      </c>
      <c r="G34" s="37">
        <f t="shared" si="14"/>
        <v>3500</v>
      </c>
      <c r="H34" s="38">
        <f t="shared" si="15"/>
        <v>3400</v>
      </c>
      <c r="I34" s="141">
        <f aca="true" t="shared" si="17" ref="I34:I97">I22</f>
        <v>30</v>
      </c>
      <c r="J34" s="66">
        <f t="shared" si="12"/>
        <v>95118.00958849787</v>
      </c>
      <c r="K34" s="45">
        <f t="shared" si="0"/>
        <v>95118.00958849787</v>
      </c>
      <c r="L34" s="74">
        <f t="shared" si="1"/>
        <v>96999.9122138407</v>
      </c>
      <c r="M34" s="152" t="str">
        <f t="shared" si="2"/>
        <v>Reserve £1,882</v>
      </c>
      <c r="N34" s="50"/>
      <c r="O34" s="2"/>
      <c r="P34" s="17">
        <f t="shared" si="3"/>
        <v>775.2989356188731</v>
      </c>
      <c r="Q34" s="11"/>
      <c r="R34" s="18">
        <f t="shared" si="13"/>
        <v>15</v>
      </c>
      <c r="S34" s="88">
        <f t="shared" si="4"/>
        <v>775.2989356188735</v>
      </c>
      <c r="T34" s="18">
        <f t="shared" si="5"/>
      </c>
      <c r="U34" s="2"/>
    </row>
    <row r="35" spans="2:21" ht="15">
      <c r="B35" s="29"/>
      <c r="C35" s="39">
        <f>C23</f>
        <v>4</v>
      </c>
      <c r="D35" s="143">
        <f t="shared" si="6"/>
        <v>7</v>
      </c>
      <c r="E35" s="160">
        <f t="shared" si="9"/>
        <v>760.2573023939879</v>
      </c>
      <c r="F35" s="55">
        <f t="shared" si="16"/>
        <v>775.2989356188735</v>
      </c>
      <c r="G35" s="37">
        <f t="shared" si="14"/>
        <v>3500</v>
      </c>
      <c r="H35" s="38">
        <f t="shared" si="15"/>
        <v>3400</v>
      </c>
      <c r="I35" s="141">
        <f t="shared" si="17"/>
        <v>30</v>
      </c>
      <c r="J35" s="66">
        <f t="shared" si="12"/>
        <v>94777.14904214523</v>
      </c>
      <c r="K35" s="45">
        <f t="shared" si="0"/>
        <v>94777.14904214523</v>
      </c>
      <c r="L35" s="74">
        <f t="shared" si="1"/>
        <v>96790.44609946922</v>
      </c>
      <c r="M35" s="152" t="str">
        <f t="shared" si="2"/>
        <v>Reserve £2,013</v>
      </c>
      <c r="N35" s="149"/>
      <c r="O35" s="2"/>
      <c r="P35" s="17">
        <f t="shared" si="3"/>
        <v>775.2989356188731</v>
      </c>
      <c r="Q35" s="11"/>
      <c r="R35" s="18">
        <f t="shared" si="13"/>
        <v>16</v>
      </c>
      <c r="S35" s="88">
        <f t="shared" si="4"/>
        <v>775.2989356188735</v>
      </c>
      <c r="T35" s="18">
        <f t="shared" si="5"/>
      </c>
      <c r="U35" s="2"/>
    </row>
    <row r="36" spans="2:21" ht="15">
      <c r="B36" s="29"/>
      <c r="C36" s="39">
        <f aca="true" t="shared" si="18" ref="C36:C96">C24</f>
        <v>5</v>
      </c>
      <c r="D36" s="143">
        <f t="shared" si="6"/>
        <v>7</v>
      </c>
      <c r="E36" s="160">
        <f t="shared" si="9"/>
        <v>759.1722709682753</v>
      </c>
      <c r="F36" s="55">
        <f t="shared" si="16"/>
        <v>775.2989356188735</v>
      </c>
      <c r="G36" s="37">
        <f t="shared" si="14"/>
        <v>3500</v>
      </c>
      <c r="H36" s="38">
        <f t="shared" si="15"/>
        <v>3400</v>
      </c>
      <c r="I36" s="141">
        <f t="shared" si="17"/>
        <v>30</v>
      </c>
      <c r="J36" s="66">
        <f t="shared" si="12"/>
        <v>94434.30014260554</v>
      </c>
      <c r="K36" s="45">
        <f t="shared" si="0"/>
        <v>94434.30014260554</v>
      </c>
      <c r="L36" s="74">
        <f t="shared" si="1"/>
        <v>96579.75809943058</v>
      </c>
      <c r="M36" s="152" t="str">
        <f t="shared" si="2"/>
        <v>Reserve £2,145</v>
      </c>
      <c r="N36" s="50"/>
      <c r="O36" s="2"/>
      <c r="P36" s="17">
        <f t="shared" si="3"/>
        <v>775.298935618873</v>
      </c>
      <c r="Q36" s="11"/>
      <c r="R36" s="18">
        <f t="shared" si="13"/>
        <v>17</v>
      </c>
      <c r="S36" s="88">
        <f t="shared" si="4"/>
        <v>775.2989356188735</v>
      </c>
      <c r="T36" s="18">
        <f t="shared" si="5"/>
      </c>
      <c r="U36" s="2"/>
    </row>
    <row r="37" spans="2:21" ht="15">
      <c r="B37" s="29"/>
      <c r="C37" s="39">
        <f t="shared" si="18"/>
        <v>6</v>
      </c>
      <c r="D37" s="143">
        <f t="shared" si="6"/>
        <v>7</v>
      </c>
      <c r="E37" s="160">
        <f t="shared" si="9"/>
        <v>758.0761624097186</v>
      </c>
      <c r="F37" s="55">
        <f t="shared" si="16"/>
        <v>775.2989356188735</v>
      </c>
      <c r="G37" s="37">
        <f t="shared" si="14"/>
        <v>3500</v>
      </c>
      <c r="H37" s="38">
        <f t="shared" si="15"/>
        <v>3400</v>
      </c>
      <c r="I37" s="141">
        <f t="shared" si="17"/>
        <v>30</v>
      </c>
      <c r="J37" s="66">
        <f t="shared" si="12"/>
        <v>94089.45129115187</v>
      </c>
      <c r="K37" s="45">
        <f t="shared" si="0"/>
        <v>94089.45129115187</v>
      </c>
      <c r="L37" s="74">
        <f t="shared" si="1"/>
        <v>96367.84108605838</v>
      </c>
      <c r="M37" s="152" t="str">
        <f t="shared" si="2"/>
        <v>Reserve £2,278</v>
      </c>
      <c r="N37" s="50"/>
      <c r="O37" s="2"/>
      <c r="P37" s="17">
        <f t="shared" si="3"/>
        <v>775.298935618873</v>
      </c>
      <c r="Q37" s="11"/>
      <c r="R37" s="18">
        <f t="shared" si="13"/>
        <v>18</v>
      </c>
      <c r="S37" s="88">
        <f t="shared" si="4"/>
        <v>775.2989356188735</v>
      </c>
      <c r="T37" s="18">
        <f t="shared" si="5"/>
      </c>
      <c r="U37" s="2"/>
    </row>
    <row r="38" spans="2:21" ht="15">
      <c r="B38" s="29"/>
      <c r="C38" s="39">
        <f t="shared" si="18"/>
        <v>7</v>
      </c>
      <c r="D38" s="143">
        <f t="shared" si="6"/>
        <v>7</v>
      </c>
      <c r="E38" s="160">
        <f t="shared" si="9"/>
        <v>756.9688250445532</v>
      </c>
      <c r="F38" s="55">
        <f t="shared" si="16"/>
        <v>775.2989356188735</v>
      </c>
      <c r="G38" s="37">
        <f t="shared" si="14"/>
        <v>3500</v>
      </c>
      <c r="H38" s="38">
        <f t="shared" si="15"/>
        <v>3400</v>
      </c>
      <c r="I38" s="141">
        <f t="shared" si="17"/>
        <v>30</v>
      </c>
      <c r="J38" s="66">
        <f t="shared" si="12"/>
        <v>93742.59082139804</v>
      </c>
      <c r="K38" s="45">
        <f t="shared" si="0"/>
        <v>93742.59082139804</v>
      </c>
      <c r="L38" s="74">
        <f t="shared" si="1"/>
        <v>96154.68789010818</v>
      </c>
      <c r="M38" s="152" t="str">
        <f t="shared" si="2"/>
        <v>Reserve £2,412</v>
      </c>
      <c r="N38" s="50"/>
      <c r="O38" s="2"/>
      <c r="P38" s="17">
        <f t="shared" si="3"/>
        <v>775.298935618873</v>
      </c>
      <c r="Q38" s="11"/>
      <c r="R38" s="18">
        <f t="shared" si="13"/>
        <v>19</v>
      </c>
      <c r="S38" s="88">
        <f t="shared" si="4"/>
        <v>775.2989356188735</v>
      </c>
      <c r="T38" s="18">
        <f t="shared" si="5"/>
      </c>
      <c r="U38" s="2"/>
    </row>
    <row r="39" spans="2:21" ht="15">
      <c r="B39" s="29"/>
      <c r="C39" s="39">
        <f t="shared" si="18"/>
        <v>8</v>
      </c>
      <c r="D39" s="143">
        <f t="shared" si="6"/>
        <v>7</v>
      </c>
      <c r="E39" s="160">
        <f t="shared" si="9"/>
        <v>755.8501044592562</v>
      </c>
      <c r="F39" s="55">
        <f t="shared" si="16"/>
        <v>775.2989356188735</v>
      </c>
      <c r="G39" s="37">
        <f t="shared" si="14"/>
        <v>3500</v>
      </c>
      <c r="H39" s="38">
        <f t="shared" si="15"/>
        <v>3400</v>
      </c>
      <c r="I39" s="141">
        <f t="shared" si="17"/>
        <v>30</v>
      </c>
      <c r="J39" s="66">
        <f t="shared" si="12"/>
        <v>93393.70699890399</v>
      </c>
      <c r="K39" s="45">
        <f t="shared" si="0"/>
        <v>93393.70699890399</v>
      </c>
      <c r="L39" s="74">
        <f t="shared" si="1"/>
        <v>95940.29130051493</v>
      </c>
      <c r="M39" s="152" t="str">
        <f t="shared" si="2"/>
        <v>Reserve £2,547</v>
      </c>
      <c r="N39" s="50"/>
      <c r="O39" s="2"/>
      <c r="P39" s="17">
        <f t="shared" si="3"/>
        <v>775.298935618873</v>
      </c>
      <c r="Q39" s="11"/>
      <c r="R39" s="18">
        <f t="shared" si="13"/>
        <v>20</v>
      </c>
      <c r="S39" s="88">
        <f t="shared" si="4"/>
        <v>775.2989356188735</v>
      </c>
      <c r="T39" s="18">
        <f t="shared" si="5"/>
      </c>
      <c r="U39" s="2"/>
    </row>
    <row r="40" spans="2:21" ht="15">
      <c r="B40" s="29"/>
      <c r="C40" s="39">
        <f t="shared" si="18"/>
        <v>9</v>
      </c>
      <c r="D40" s="143">
        <f t="shared" si="6"/>
        <v>7</v>
      </c>
      <c r="E40" s="160">
        <f t="shared" si="9"/>
        <v>754.7198434383168</v>
      </c>
      <c r="F40" s="55">
        <f t="shared" si="16"/>
        <v>775.2989356188735</v>
      </c>
      <c r="G40" s="37">
        <f t="shared" si="14"/>
        <v>3500</v>
      </c>
      <c r="H40" s="38">
        <f t="shared" si="15"/>
        <v>3400</v>
      </c>
      <c r="I40" s="141">
        <f t="shared" si="17"/>
        <v>30</v>
      </c>
      <c r="J40" s="66">
        <f t="shared" si="12"/>
        <v>93042.78802077872</v>
      </c>
      <c r="K40" s="45">
        <f t="shared" si="0"/>
        <v>93042.78802077872</v>
      </c>
      <c r="L40" s="74">
        <f t="shared" si="1"/>
        <v>95724.64406414906</v>
      </c>
      <c r="M40" s="152" t="str">
        <f t="shared" si="2"/>
        <v>Reserve £2,682</v>
      </c>
      <c r="N40" s="50"/>
      <c r="O40" s="2"/>
      <c r="P40" s="17">
        <f t="shared" si="3"/>
        <v>775.2989356188729</v>
      </c>
      <c r="Q40" s="11"/>
      <c r="R40" s="18">
        <f t="shared" si="13"/>
        <v>21</v>
      </c>
      <c r="S40" s="88">
        <f t="shared" si="4"/>
        <v>775.2989356188735</v>
      </c>
      <c r="T40" s="18">
        <f t="shared" si="5"/>
      </c>
      <c r="U40" s="2"/>
    </row>
    <row r="41" spans="2:21" ht="15">
      <c r="B41" s="29"/>
      <c r="C41" s="39">
        <f t="shared" si="18"/>
        <v>10</v>
      </c>
      <c r="D41" s="143">
        <f t="shared" si="6"/>
        <v>7</v>
      </c>
      <c r="E41" s="160">
        <f t="shared" si="9"/>
        <v>753.5778819003062</v>
      </c>
      <c r="F41" s="55">
        <f t="shared" si="16"/>
        <v>775.2989356188735</v>
      </c>
      <c r="G41" s="37">
        <f t="shared" si="14"/>
        <v>3500</v>
      </c>
      <c r="H41" s="38">
        <f t="shared" si="15"/>
        <v>3400</v>
      </c>
      <c r="I41" s="141">
        <f t="shared" si="17"/>
        <v>30</v>
      </c>
      <c r="J41" s="66">
        <f t="shared" si="12"/>
        <v>92689.82201528105</v>
      </c>
      <c r="K41" s="45">
        <f t="shared" si="0"/>
        <v>92689.82201528105</v>
      </c>
      <c r="L41" s="74">
        <f t="shared" si="1"/>
        <v>95507.73888557106</v>
      </c>
      <c r="M41" s="152" t="str">
        <f t="shared" si="2"/>
        <v>Reserve £2,818</v>
      </c>
      <c r="N41" s="50"/>
      <c r="O41" s="2"/>
      <c r="P41" s="17">
        <f t="shared" si="3"/>
        <v>775.298935618873</v>
      </c>
      <c r="Q41" s="11"/>
      <c r="R41" s="18">
        <f t="shared" si="13"/>
        <v>22</v>
      </c>
      <c r="S41" s="88">
        <f t="shared" si="4"/>
        <v>775.2989356188735</v>
      </c>
      <c r="T41" s="18">
        <f t="shared" si="5"/>
      </c>
      <c r="U41" s="2"/>
    </row>
    <row r="42" spans="2:21" ht="15">
      <c r="B42" s="29"/>
      <c r="C42" s="39">
        <f t="shared" si="18"/>
        <v>11</v>
      </c>
      <c r="D42" s="143">
        <f t="shared" si="6"/>
        <v>7</v>
      </c>
      <c r="E42" s="160">
        <f t="shared" si="9"/>
        <v>752.4240568321827</v>
      </c>
      <c r="F42" s="55">
        <f t="shared" si="16"/>
        <v>775.2989356188735</v>
      </c>
      <c r="G42" s="37">
        <f t="shared" si="14"/>
        <v>3500</v>
      </c>
      <c r="H42" s="38">
        <f t="shared" si="15"/>
        <v>3400</v>
      </c>
      <c r="I42" s="141">
        <f t="shared" si="17"/>
        <v>30</v>
      </c>
      <c r="J42" s="66">
        <f t="shared" si="12"/>
        <v>92334.79704141799</v>
      </c>
      <c r="K42" s="45">
        <f t="shared" si="0"/>
        <v>92334.79704141799</v>
      </c>
      <c r="L42" s="74">
        <f t="shared" si="1"/>
        <v>95289.56842678468</v>
      </c>
      <c r="M42" s="152" t="str">
        <f t="shared" si="2"/>
        <v>Reserve £2,955</v>
      </c>
      <c r="N42" s="50"/>
      <c r="O42" s="2"/>
      <c r="P42" s="17">
        <f t="shared" si="3"/>
        <v>775.298935618873</v>
      </c>
      <c r="Q42" s="11"/>
      <c r="R42" s="18">
        <f t="shared" si="13"/>
        <v>23</v>
      </c>
      <c r="S42" s="88">
        <f t="shared" si="4"/>
        <v>775.2989356188735</v>
      </c>
      <c r="T42" s="18">
        <f t="shared" si="5"/>
      </c>
      <c r="U42" s="2"/>
    </row>
    <row r="43" spans="2:21" ht="15">
      <c r="B43" s="77">
        <f>B32</f>
        <v>2</v>
      </c>
      <c r="C43" s="40">
        <f t="shared" si="18"/>
        <v>12</v>
      </c>
      <c r="D43" s="155">
        <f t="shared" si="6"/>
        <v>7</v>
      </c>
      <c r="E43" s="160">
        <f t="shared" si="9"/>
        <v>751.258202221785</v>
      </c>
      <c r="F43" s="124">
        <f t="shared" si="16"/>
        <v>775.2989356188735</v>
      </c>
      <c r="G43" s="135">
        <f t="shared" si="14"/>
        <v>3500</v>
      </c>
      <c r="H43" s="134">
        <f t="shared" si="15"/>
        <v>3400</v>
      </c>
      <c r="I43" s="141">
        <f t="shared" si="17"/>
        <v>30</v>
      </c>
      <c r="J43" s="66">
        <f t="shared" si="12"/>
        <v>91977.70108854072</v>
      </c>
      <c r="K43" s="46">
        <f t="shared" si="0"/>
        <v>91977.70108854072</v>
      </c>
      <c r="L43" s="75">
        <f t="shared" si="1"/>
        <v>95070.12530698872</v>
      </c>
      <c r="M43" s="153" t="str">
        <f t="shared" si="2"/>
        <v>Reserve £3,092</v>
      </c>
      <c r="N43" s="51"/>
      <c r="O43" s="2"/>
      <c r="P43" s="19">
        <f t="shared" si="3"/>
        <v>775.298935618873</v>
      </c>
      <c r="Q43" s="13"/>
      <c r="R43" s="20">
        <f t="shared" si="13"/>
        <v>24</v>
      </c>
      <c r="S43" s="89">
        <f t="shared" si="4"/>
        <v>775.2989356188735</v>
      </c>
      <c r="T43" s="133">
        <f t="shared" si="5"/>
      </c>
      <c r="U43" s="2"/>
    </row>
    <row r="44" spans="2:21" ht="15">
      <c r="B44" s="28">
        <f>B43+1</f>
        <v>3</v>
      </c>
      <c r="C44" s="147">
        <f t="shared" si="18"/>
        <v>1</v>
      </c>
      <c r="D44" s="142">
        <f t="shared" si="6"/>
        <v>7</v>
      </c>
      <c r="E44" s="159">
        <f t="shared" si="9"/>
        <v>750.0801489884475</v>
      </c>
      <c r="F44" s="56">
        <f>F43*(1+$F$10/100)</f>
        <v>775.2989356188735</v>
      </c>
      <c r="G44" s="37">
        <f t="shared" si="14"/>
        <v>3500</v>
      </c>
      <c r="H44" s="35">
        <f t="shared" si="15"/>
        <v>3400</v>
      </c>
      <c r="I44" s="140">
        <f t="shared" si="17"/>
        <v>30</v>
      </c>
      <c r="J44" s="65">
        <f t="shared" si="12"/>
        <v>91618.52207593834</v>
      </c>
      <c r="K44" s="44">
        <f t="shared" si="0"/>
        <v>91618.52207593834</v>
      </c>
      <c r="L44" s="73">
        <f t="shared" si="1"/>
        <v>94849.40210232728</v>
      </c>
      <c r="M44" s="151" t="str">
        <f t="shared" si="2"/>
        <v>Reserve £3,231</v>
      </c>
      <c r="N44" s="49"/>
      <c r="O44" s="3"/>
      <c r="P44" s="17">
        <f t="shared" si="3"/>
        <v>775.298935618873</v>
      </c>
      <c r="Q44" s="11"/>
      <c r="R44" s="18">
        <f aca="true" t="shared" si="19" ref="R44:R107">R43+1</f>
        <v>25</v>
      </c>
      <c r="S44" s="87">
        <f t="shared" si="4"/>
        <v>775.2989356188735</v>
      </c>
      <c r="T44" s="18">
        <f t="shared" si="5"/>
      </c>
      <c r="U44" s="2"/>
    </row>
    <row r="45" spans="2:21" ht="15">
      <c r="B45" s="29"/>
      <c r="C45" s="39">
        <f t="shared" si="18"/>
        <v>2</v>
      </c>
      <c r="D45" s="143">
        <f t="shared" si="6"/>
        <v>7</v>
      </c>
      <c r="E45" s="160">
        <f t="shared" si="9"/>
        <v>748.8897249116802</v>
      </c>
      <c r="F45" s="55">
        <f t="shared" si="16"/>
        <v>775.2989356188735</v>
      </c>
      <c r="G45" s="37">
        <f t="shared" si="14"/>
        <v>3500</v>
      </c>
      <c r="H45" s="38">
        <f t="shared" si="15"/>
        <v>3400</v>
      </c>
      <c r="I45" s="141">
        <f t="shared" si="17"/>
        <v>30</v>
      </c>
      <c r="J45" s="66">
        <f t="shared" si="12"/>
        <v>91257.24785242911</v>
      </c>
      <c r="K45" s="45">
        <f t="shared" si="0"/>
        <v>91257.24785242911</v>
      </c>
      <c r="L45" s="74">
        <f t="shared" si="1"/>
        <v>94627.39134563865</v>
      </c>
      <c r="M45" s="152" t="str">
        <f t="shared" si="2"/>
        <v>Reserve £3,370</v>
      </c>
      <c r="N45" s="50"/>
      <c r="O45" s="2"/>
      <c r="P45" s="17">
        <f t="shared" si="3"/>
        <v>775.298935618873</v>
      </c>
      <c r="Q45" s="11"/>
      <c r="R45" s="18">
        <f t="shared" si="19"/>
        <v>26</v>
      </c>
      <c r="S45" s="88">
        <f t="shared" si="4"/>
        <v>775.2989356188735</v>
      </c>
      <c r="T45" s="18">
        <f t="shared" si="5"/>
      </c>
      <c r="U45" s="2"/>
    </row>
    <row r="46" spans="2:21" ht="15">
      <c r="B46" s="29"/>
      <c r="C46" s="39">
        <f t="shared" si="18"/>
        <v>3</v>
      </c>
      <c r="D46" s="143">
        <f t="shared" si="6"/>
        <v>7</v>
      </c>
      <c r="E46" s="160">
        <f t="shared" si="9"/>
        <v>747.6867545578482</v>
      </c>
      <c r="F46" s="55">
        <f t="shared" si="16"/>
        <v>775.2989356188735</v>
      </c>
      <c r="G46" s="37">
        <f t="shared" si="14"/>
        <v>3500</v>
      </c>
      <c r="H46" s="38">
        <f t="shared" si="15"/>
        <v>3400</v>
      </c>
      <c r="I46" s="141">
        <f t="shared" si="17"/>
        <v>30</v>
      </c>
      <c r="J46" s="66">
        <f t="shared" si="12"/>
        <v>90893.8661959494</v>
      </c>
      <c r="K46" s="45">
        <f t="shared" si="0"/>
        <v>90893.8661959494</v>
      </c>
      <c r="L46" s="74">
        <f t="shared" si="1"/>
        <v>94404.08552620267</v>
      </c>
      <c r="M46" s="152" t="str">
        <f t="shared" si="2"/>
        <v>Reserve £3,510</v>
      </c>
      <c r="N46" s="50"/>
      <c r="O46" s="2"/>
      <c r="P46" s="17">
        <f t="shared" si="3"/>
        <v>775.298935618873</v>
      </c>
      <c r="Q46" s="11"/>
      <c r="R46" s="18">
        <f t="shared" si="19"/>
        <v>27</v>
      </c>
      <c r="S46" s="88">
        <f t="shared" si="4"/>
        <v>775.2989356188735</v>
      </c>
      <c r="T46" s="18">
        <f t="shared" si="5"/>
      </c>
      <c r="U46" s="2"/>
    </row>
    <row r="47" spans="2:21" ht="15">
      <c r="B47" s="29"/>
      <c r="C47" s="39">
        <f t="shared" si="18"/>
        <v>4</v>
      </c>
      <c r="D47" s="143">
        <f t="shared" si="6"/>
        <v>7</v>
      </c>
      <c r="E47" s="160">
        <f t="shared" si="9"/>
        <v>746.4710592047871</v>
      </c>
      <c r="F47" s="55">
        <f t="shared" si="16"/>
        <v>775.2989356188735</v>
      </c>
      <c r="G47" s="37">
        <f t="shared" si="14"/>
        <v>3500</v>
      </c>
      <c r="H47" s="38">
        <f t="shared" si="15"/>
        <v>3400</v>
      </c>
      <c r="I47" s="141">
        <f t="shared" si="17"/>
        <v>30</v>
      </c>
      <c r="J47" s="66">
        <f t="shared" si="12"/>
        <v>90528.36481314023</v>
      </c>
      <c r="K47" s="45">
        <f t="shared" si="0"/>
        <v>90528.36481314023</v>
      </c>
      <c r="L47" s="74">
        <f t="shared" si="1"/>
        <v>94179.47708948665</v>
      </c>
      <c r="M47" s="152" t="str">
        <f t="shared" si="2"/>
        <v>Reserve £3,651</v>
      </c>
      <c r="N47" s="50"/>
      <c r="O47" s="2"/>
      <c r="P47" s="17">
        <f t="shared" si="3"/>
        <v>775.2989356188729</v>
      </c>
      <c r="Q47" s="11"/>
      <c r="R47" s="18">
        <f t="shared" si="19"/>
        <v>28</v>
      </c>
      <c r="S47" s="88">
        <f t="shared" si="4"/>
        <v>775.2989356188735</v>
      </c>
      <c r="T47" s="18">
        <f t="shared" si="5"/>
      </c>
      <c r="U47" s="2"/>
    </row>
    <row r="48" spans="2:21" ht="15">
      <c r="B48" s="29"/>
      <c r="C48" s="39">
        <f t="shared" si="18"/>
        <v>5</v>
      </c>
      <c r="D48" s="143">
        <f t="shared" si="6"/>
        <v>7</v>
      </c>
      <c r="E48" s="160">
        <f t="shared" si="9"/>
        <v>745.2424567642843</v>
      </c>
      <c r="F48" s="55">
        <f t="shared" si="16"/>
        <v>775.2989356188735</v>
      </c>
      <c r="G48" s="37">
        <f t="shared" si="14"/>
        <v>3500</v>
      </c>
      <c r="H48" s="38">
        <f t="shared" si="15"/>
        <v>3400</v>
      </c>
      <c r="I48" s="141">
        <f t="shared" si="17"/>
        <v>30</v>
      </c>
      <c r="J48" s="66">
        <f t="shared" si="12"/>
        <v>90160.73133893133</v>
      </c>
      <c r="K48" s="45">
        <f t="shared" si="0"/>
        <v>90160.73133893133</v>
      </c>
      <c r="L48" s="74">
        <f t="shared" si="1"/>
        <v>93953.55843688978</v>
      </c>
      <c r="M48" s="152" t="str">
        <f t="shared" si="2"/>
        <v>Reserve £3,793</v>
      </c>
      <c r="N48" s="50"/>
      <c r="O48" s="2"/>
      <c r="P48" s="17">
        <f t="shared" si="3"/>
        <v>775.298935618873</v>
      </c>
      <c r="Q48" s="11"/>
      <c r="R48" s="18">
        <f t="shared" si="19"/>
        <v>29</v>
      </c>
      <c r="S48" s="88">
        <f t="shared" si="4"/>
        <v>775.2989356188735</v>
      </c>
      <c r="T48" s="18">
        <f t="shared" si="5"/>
      </c>
      <c r="U48" s="2"/>
    </row>
    <row r="49" spans="2:21" ht="15">
      <c r="B49" s="29"/>
      <c r="C49" s="39">
        <f t="shared" si="18"/>
        <v>6</v>
      </c>
      <c r="D49" s="143">
        <f t="shared" si="6"/>
        <v>7</v>
      </c>
      <c r="E49" s="160">
        <f t="shared" si="9"/>
        <v>744.000761702354</v>
      </c>
      <c r="F49" s="55">
        <f t="shared" si="16"/>
        <v>775.2989356188735</v>
      </c>
      <c r="G49" s="37">
        <f t="shared" si="14"/>
        <v>3500</v>
      </c>
      <c r="H49" s="38">
        <f t="shared" si="15"/>
        <v>3400</v>
      </c>
      <c r="I49" s="141">
        <f t="shared" si="17"/>
        <v>30</v>
      </c>
      <c r="J49" s="66">
        <f t="shared" si="12"/>
        <v>89790.9533361229</v>
      </c>
      <c r="K49" s="45">
        <f t="shared" si="0"/>
        <v>89790.9533361229</v>
      </c>
      <c r="L49" s="74">
        <f t="shared" si="1"/>
        <v>93726.3219254861</v>
      </c>
      <c r="M49" s="152" t="str">
        <f t="shared" si="2"/>
        <v>Reserve £3,935</v>
      </c>
      <c r="N49" s="50"/>
      <c r="O49" s="2"/>
      <c r="P49" s="17">
        <f t="shared" si="3"/>
        <v>775.298935618873</v>
      </c>
      <c r="Q49" s="11"/>
      <c r="R49" s="18">
        <f t="shared" si="19"/>
        <v>30</v>
      </c>
      <c r="S49" s="88">
        <f t="shared" si="4"/>
        <v>775.2989356188735</v>
      </c>
      <c r="T49" s="18">
        <f t="shared" si="5"/>
      </c>
      <c r="U49" s="2"/>
    </row>
    <row r="50" spans="2:21" ht="15">
      <c r="B50" s="29"/>
      <c r="C50" s="39">
        <f t="shared" si="18"/>
        <v>7</v>
      </c>
      <c r="D50" s="143">
        <f t="shared" si="6"/>
        <v>7</v>
      </c>
      <c r="E50" s="160">
        <f t="shared" si="9"/>
        <v>742.7457849572381</v>
      </c>
      <c r="F50" s="55">
        <f t="shared" si="16"/>
        <v>775.2989356188735</v>
      </c>
      <c r="G50" s="37">
        <f t="shared" si="14"/>
        <v>3500</v>
      </c>
      <c r="H50" s="38">
        <f t="shared" si="15"/>
        <v>3400</v>
      </c>
      <c r="I50" s="141">
        <f t="shared" si="17"/>
        <v>30</v>
      </c>
      <c r="J50" s="66">
        <f t="shared" si="12"/>
        <v>89419.01829496474</v>
      </c>
      <c r="K50" s="45">
        <f t="shared" si="0"/>
        <v>89419.01829496474</v>
      </c>
      <c r="L50" s="74">
        <f t="shared" si="1"/>
        <v>93497.7598677659</v>
      </c>
      <c r="M50" s="152" t="str">
        <f t="shared" si="2"/>
        <v>Reserve £4,079</v>
      </c>
      <c r="N50" s="50"/>
      <c r="O50" s="2"/>
      <c r="P50" s="17">
        <f t="shared" si="3"/>
        <v>775.298935618873</v>
      </c>
      <c r="Q50" s="11"/>
      <c r="R50" s="18">
        <f t="shared" si="19"/>
        <v>31</v>
      </c>
      <c r="S50" s="88">
        <f t="shared" si="4"/>
        <v>775.2989356188735</v>
      </c>
      <c r="T50" s="18">
        <f t="shared" si="5"/>
      </c>
      <c r="U50" s="2"/>
    </row>
    <row r="51" spans="2:21" ht="15">
      <c r="B51" s="29"/>
      <c r="C51" s="39">
        <f t="shared" si="18"/>
        <v>8</v>
      </c>
      <c r="D51" s="143">
        <f t="shared" si="6"/>
        <v>7</v>
      </c>
      <c r="E51" s="160">
        <f t="shared" si="9"/>
        <v>741.4773338550494</v>
      </c>
      <c r="F51" s="55">
        <f t="shared" si="16"/>
        <v>775.2989356188735</v>
      </c>
      <c r="G51" s="37">
        <f t="shared" si="14"/>
        <v>3500</v>
      </c>
      <c r="H51" s="38">
        <f t="shared" si="15"/>
        <v>3400</v>
      </c>
      <c r="I51" s="141">
        <f t="shared" si="17"/>
        <v>30</v>
      </c>
      <c r="J51" s="66">
        <f t="shared" si="12"/>
        <v>89044.91363273317</v>
      </c>
      <c r="K51" s="45">
        <f t="shared" si="0"/>
        <v>89044.91363273317</v>
      </c>
      <c r="L51" s="74">
        <f t="shared" si="1"/>
        <v>93267.86453137566</v>
      </c>
      <c r="M51" s="152" t="str">
        <f t="shared" si="2"/>
        <v>Reserve £4,223</v>
      </c>
      <c r="N51" s="50"/>
      <c r="O51" s="2"/>
      <c r="P51" s="17">
        <f t="shared" si="3"/>
        <v>775.298935618873</v>
      </c>
      <c r="Q51" s="11"/>
      <c r="R51" s="18">
        <f t="shared" si="19"/>
        <v>32</v>
      </c>
      <c r="S51" s="88">
        <f t="shared" si="4"/>
        <v>775.2989356188735</v>
      </c>
      <c r="T51" s="18">
        <f t="shared" si="5"/>
      </c>
      <c r="U51" s="2"/>
    </row>
    <row r="52" spans="2:21" ht="15">
      <c r="B52" s="29"/>
      <c r="C52" s="39">
        <f t="shared" si="18"/>
        <v>9</v>
      </c>
      <c r="D52" s="143">
        <f t="shared" si="6"/>
        <v>7</v>
      </c>
      <c r="E52" s="160">
        <f t="shared" si="9"/>
        <v>740.1952120229835</v>
      </c>
      <c r="F52" s="55">
        <f t="shared" si="16"/>
        <v>775.2989356188735</v>
      </c>
      <c r="G52" s="37">
        <f t="shared" si="14"/>
        <v>3500</v>
      </c>
      <c r="H52" s="38">
        <f t="shared" si="15"/>
        <v>3400</v>
      </c>
      <c r="I52" s="141">
        <f t="shared" si="17"/>
        <v>30</v>
      </c>
      <c r="J52" s="66">
        <f t="shared" si="12"/>
        <v>88668.62669330524</v>
      </c>
      <c r="K52" s="45">
        <f t="shared" si="0"/>
        <v>88668.62669330524</v>
      </c>
      <c r="L52" s="74">
        <f t="shared" si="1"/>
        <v>93036.62813885647</v>
      </c>
      <c r="M52" s="152" t="str">
        <f t="shared" si="2"/>
        <v>Reserve £4,368</v>
      </c>
      <c r="N52" s="50"/>
      <c r="O52" s="2"/>
      <c r="P52" s="17">
        <f t="shared" si="3"/>
        <v>775.298935618873</v>
      </c>
      <c r="Q52" s="11"/>
      <c r="R52" s="18">
        <f t="shared" si="19"/>
        <v>33</v>
      </c>
      <c r="S52" s="88">
        <f t="shared" si="4"/>
        <v>775.2989356188735</v>
      </c>
      <c r="T52" s="18">
        <f t="shared" si="5"/>
      </c>
      <c r="U52" s="2"/>
    </row>
    <row r="53" spans="2:21" ht="15">
      <c r="B53" s="29"/>
      <c r="C53" s="39">
        <f t="shared" si="18"/>
        <v>10</v>
      </c>
      <c r="D53" s="143">
        <f t="shared" si="6"/>
        <v>7</v>
      </c>
      <c r="E53" s="160">
        <f t="shared" si="9"/>
        <v>738.8992193000138</v>
      </c>
      <c r="F53" s="55">
        <f t="shared" si="16"/>
        <v>775.2989356188735</v>
      </c>
      <c r="G53" s="37">
        <f t="shared" si="14"/>
        <v>3500</v>
      </c>
      <c r="H53" s="38">
        <f t="shared" si="15"/>
        <v>3400</v>
      </c>
      <c r="I53" s="141">
        <f t="shared" si="17"/>
        <v>30</v>
      </c>
      <c r="J53" s="66">
        <f t="shared" si="12"/>
        <v>88290.14474673064</v>
      </c>
      <c r="K53" s="45">
        <f t="shared" si="0"/>
        <v>88290.14474673064</v>
      </c>
      <c r="L53" s="74">
        <f t="shared" si="1"/>
        <v>92804.04286738092</v>
      </c>
      <c r="M53" s="152" t="str">
        <f t="shared" si="2"/>
        <v>Reserve £4,514</v>
      </c>
      <c r="N53" s="50"/>
      <c r="O53" s="2"/>
      <c r="P53" s="17">
        <f t="shared" si="3"/>
        <v>775.2989356188731</v>
      </c>
      <c r="Q53" s="11"/>
      <c r="R53" s="18">
        <f t="shared" si="19"/>
        <v>34</v>
      </c>
      <c r="S53" s="88">
        <f t="shared" si="4"/>
        <v>775.2989356188735</v>
      </c>
      <c r="T53" s="18">
        <f t="shared" si="5"/>
      </c>
      <c r="U53" s="2"/>
    </row>
    <row r="54" spans="2:21" ht="15">
      <c r="B54" s="29"/>
      <c r="C54" s="39">
        <f t="shared" si="18"/>
        <v>11</v>
      </c>
      <c r="D54" s="143">
        <f t="shared" si="6"/>
        <v>7</v>
      </c>
      <c r="E54" s="160">
        <f t="shared" si="9"/>
        <v>737.5891516449868</v>
      </c>
      <c r="F54" s="55">
        <f t="shared" si="16"/>
        <v>775.2989356188735</v>
      </c>
      <c r="G54" s="37">
        <f t="shared" si="14"/>
        <v>3500</v>
      </c>
      <c r="H54" s="38">
        <f t="shared" si="15"/>
        <v>3400</v>
      </c>
      <c r="I54" s="141">
        <f t="shared" si="17"/>
        <v>30</v>
      </c>
      <c r="J54" s="66">
        <f t="shared" si="12"/>
        <v>87909.45498880102</v>
      </c>
      <c r="K54" s="45">
        <f t="shared" si="0"/>
        <v>87909.45498880102</v>
      </c>
      <c r="L54" s="74">
        <f t="shared" si="1"/>
        <v>92570.10084848844</v>
      </c>
      <c r="M54" s="152" t="str">
        <f t="shared" si="2"/>
        <v>Reserve £4,661</v>
      </c>
      <c r="N54" s="50"/>
      <c r="O54" s="2"/>
      <c r="P54" s="17">
        <f t="shared" si="3"/>
        <v>775.2989356188729</v>
      </c>
      <c r="Q54" s="11"/>
      <c r="R54" s="18">
        <f t="shared" si="19"/>
        <v>35</v>
      </c>
      <c r="S54" s="88">
        <f t="shared" si="4"/>
        <v>775.2989356188735</v>
      </c>
      <c r="T54" s="18">
        <f t="shared" si="5"/>
      </c>
      <c r="U54" s="2"/>
    </row>
    <row r="55" spans="2:21" ht="15">
      <c r="B55" s="77">
        <f>B44</f>
        <v>3</v>
      </c>
      <c r="C55" s="40">
        <f t="shared" si="18"/>
        <v>12</v>
      </c>
      <c r="D55" s="155">
        <f t="shared" si="6"/>
        <v>7</v>
      </c>
      <c r="E55" s="160">
        <f t="shared" si="9"/>
        <v>736.2648010420263</v>
      </c>
      <c r="F55" s="124">
        <f t="shared" si="16"/>
        <v>775.2989356188735</v>
      </c>
      <c r="G55" s="135">
        <f t="shared" si="14"/>
        <v>3500</v>
      </c>
      <c r="H55" s="134">
        <f t="shared" si="15"/>
        <v>3400</v>
      </c>
      <c r="I55" s="141">
        <f t="shared" si="17"/>
        <v>30</v>
      </c>
      <c r="J55" s="66">
        <f t="shared" si="12"/>
        <v>87526.54454061681</v>
      </c>
      <c r="K55" s="46">
        <f t="shared" si="0"/>
        <v>87526.54454061681</v>
      </c>
      <c r="L55" s="75">
        <f t="shared" si="1"/>
        <v>92334.79416781908</v>
      </c>
      <c r="M55" s="153" t="str">
        <f t="shared" si="2"/>
        <v>Reserve £4,808</v>
      </c>
      <c r="N55" s="51"/>
      <c r="O55" s="2"/>
      <c r="P55" s="19">
        <f t="shared" si="3"/>
        <v>775.2989356188729</v>
      </c>
      <c r="Q55" s="13"/>
      <c r="R55" s="20">
        <f t="shared" si="19"/>
        <v>36</v>
      </c>
      <c r="S55" s="89">
        <f t="shared" si="4"/>
        <v>775.2989356188735</v>
      </c>
      <c r="T55" s="133">
        <f t="shared" si="5"/>
      </c>
      <c r="U55" s="2"/>
    </row>
    <row r="56" spans="2:21" ht="15">
      <c r="B56" s="28">
        <f>B55+1</f>
        <v>4</v>
      </c>
      <c r="C56" s="147">
        <f t="shared" si="18"/>
        <v>1</v>
      </c>
      <c r="D56" s="142">
        <f t="shared" si="6"/>
        <v>7</v>
      </c>
      <c r="E56" s="159">
        <f t="shared" si="9"/>
        <v>734.9259554031548</v>
      </c>
      <c r="F56" s="56">
        <f>F55*(1+$F$10/100)</f>
        <v>775.2989356188735</v>
      </c>
      <c r="G56" s="37">
        <f t="shared" si="14"/>
        <v>3500</v>
      </c>
      <c r="H56" s="35">
        <f t="shared" si="15"/>
        <v>3400</v>
      </c>
      <c r="I56" s="140">
        <f t="shared" si="17"/>
        <v>30</v>
      </c>
      <c r="J56" s="65">
        <f t="shared" si="12"/>
        <v>87141.40044815154</v>
      </c>
      <c r="K56" s="44">
        <f t="shared" si="0"/>
        <v>87141.40044815154</v>
      </c>
      <c r="L56" s="73">
        <f t="shared" si="1"/>
        <v>92098.11486484582</v>
      </c>
      <c r="M56" s="151" t="str">
        <f t="shared" si="2"/>
        <v>Reserve £4,957</v>
      </c>
      <c r="N56" s="49"/>
      <c r="O56" s="3"/>
      <c r="P56" s="17">
        <f t="shared" si="3"/>
        <v>775.2989356188731</v>
      </c>
      <c r="Q56" s="11"/>
      <c r="R56" s="18">
        <f t="shared" si="19"/>
        <v>37</v>
      </c>
      <c r="S56" s="87">
        <f t="shared" si="4"/>
        <v>775.2989356188735</v>
      </c>
      <c r="T56" s="18">
        <f t="shared" si="5"/>
      </c>
      <c r="U56" s="2"/>
    </row>
    <row r="57" spans="2:21" ht="15">
      <c r="B57" s="29"/>
      <c r="C57" s="39">
        <f t="shared" si="18"/>
        <v>2</v>
      </c>
      <c r="D57" s="143">
        <f t="shared" si="6"/>
        <v>7</v>
      </c>
      <c r="E57" s="160">
        <f t="shared" si="9"/>
        <v>733.5723984680386</v>
      </c>
      <c r="F57" s="55">
        <f t="shared" si="16"/>
        <v>775.2989356188735</v>
      </c>
      <c r="G57" s="37">
        <f t="shared" si="14"/>
        <v>3500</v>
      </c>
      <c r="H57" s="38">
        <f t="shared" si="15"/>
        <v>3400</v>
      </c>
      <c r="I57" s="141">
        <f t="shared" si="17"/>
        <v>30</v>
      </c>
      <c r="J57" s="66">
        <f t="shared" si="12"/>
        <v>86754.00968181355</v>
      </c>
      <c r="K57" s="45">
        <f t="shared" si="0"/>
        <v>86754.00968181355</v>
      </c>
      <c r="L57" s="74">
        <f t="shared" si="1"/>
        <v>91860.05493260521</v>
      </c>
      <c r="M57" s="152" t="str">
        <f t="shared" si="2"/>
        <v>Reserve £5,106</v>
      </c>
      <c r="N57" s="50"/>
      <c r="O57" s="2"/>
      <c r="P57" s="17">
        <f t="shared" si="3"/>
        <v>775.298935618873</v>
      </c>
      <c r="Q57" s="11"/>
      <c r="R57" s="18">
        <f t="shared" si="19"/>
        <v>38</v>
      </c>
      <c r="S57" s="88">
        <f t="shared" si="4"/>
        <v>775.2989356188735</v>
      </c>
      <c r="T57" s="18">
        <f t="shared" si="5"/>
      </c>
      <c r="U57" s="2"/>
    </row>
    <row r="58" spans="2:21" ht="15">
      <c r="B58" s="29"/>
      <c r="C58" s="39">
        <f t="shared" si="18"/>
        <v>3</v>
      </c>
      <c r="D58" s="143">
        <f t="shared" si="6"/>
        <v>7</v>
      </c>
      <c r="E58" s="160">
        <f t="shared" si="9"/>
        <v>732.2039097007527</v>
      </c>
      <c r="F58" s="55">
        <f t="shared" si="16"/>
        <v>775.2989356188735</v>
      </c>
      <c r="G58" s="37">
        <f t="shared" si="14"/>
        <v>3500</v>
      </c>
      <c r="H58" s="38">
        <f t="shared" si="15"/>
        <v>3400</v>
      </c>
      <c r="I58" s="141">
        <f t="shared" si="17"/>
        <v>30</v>
      </c>
      <c r="J58" s="66">
        <f t="shared" si="12"/>
        <v>86364.35913600525</v>
      </c>
      <c r="K58" s="45">
        <f t="shared" si="0"/>
        <v>86364.35913600525</v>
      </c>
      <c r="L58" s="74">
        <f t="shared" si="1"/>
        <v>91620.60631742653</v>
      </c>
      <c r="M58" s="152" t="str">
        <f t="shared" si="2"/>
        <v>Reserve £5,256</v>
      </c>
      <c r="N58" s="50"/>
      <c r="O58" s="2"/>
      <c r="P58" s="17">
        <f t="shared" si="3"/>
        <v>775.2989356188729</v>
      </c>
      <c r="Q58" s="11"/>
      <c r="R58" s="18">
        <f t="shared" si="19"/>
        <v>39</v>
      </c>
      <c r="S58" s="88">
        <f t="shared" si="4"/>
        <v>775.2989356188735</v>
      </c>
      <c r="T58" s="18">
        <f t="shared" si="5"/>
      </c>
      <c r="U58" s="2"/>
    </row>
    <row r="59" spans="2:21" ht="15">
      <c r="B59" s="29"/>
      <c r="C59" s="39">
        <f t="shared" si="18"/>
        <v>4</v>
      </c>
      <c r="D59" s="143">
        <f t="shared" si="6"/>
        <v>7</v>
      </c>
      <c r="E59" s="160">
        <f t="shared" si="9"/>
        <v>730.8202641834656</v>
      </c>
      <c r="F59" s="55">
        <f t="shared" si="16"/>
        <v>775.2989356188735</v>
      </c>
      <c r="G59" s="37">
        <f t="shared" si="14"/>
        <v>3500</v>
      </c>
      <c r="H59" s="38">
        <f t="shared" si="15"/>
        <v>3400</v>
      </c>
      <c r="I59" s="141">
        <f t="shared" si="17"/>
        <v>30</v>
      </c>
      <c r="J59" s="66">
        <f t="shared" si="12"/>
        <v>85972.43562867974</v>
      </c>
      <c r="K59" s="45">
        <f t="shared" si="0"/>
        <v>85972.43562867974</v>
      </c>
      <c r="L59" s="74">
        <f t="shared" si="1"/>
        <v>91379.7609186593</v>
      </c>
      <c r="M59" s="152" t="str">
        <f t="shared" si="2"/>
        <v>Reserve £5,407</v>
      </c>
      <c r="N59" s="50"/>
      <c r="O59" s="2"/>
      <c r="P59" s="17">
        <f t="shared" si="3"/>
        <v>775.298935618873</v>
      </c>
      <c r="Q59" s="11"/>
      <c r="R59" s="18">
        <f t="shared" si="19"/>
        <v>40</v>
      </c>
      <c r="S59" s="88">
        <f t="shared" si="4"/>
        <v>775.2989356188735</v>
      </c>
      <c r="T59" s="18">
        <f t="shared" si="5"/>
      </c>
      <c r="U59" s="2"/>
    </row>
    <row r="60" spans="2:21" ht="15">
      <c r="B60" s="29"/>
      <c r="C60" s="39">
        <f t="shared" si="18"/>
        <v>5</v>
      </c>
      <c r="D60" s="143">
        <f t="shared" si="6"/>
        <v>7</v>
      </c>
      <c r="E60" s="160">
        <f t="shared" si="9"/>
        <v>729.4212325069344</v>
      </c>
      <c r="F60" s="55">
        <f t="shared" si="16"/>
        <v>775.2989356188735</v>
      </c>
      <c r="G60" s="37">
        <f t="shared" si="14"/>
        <v>3500</v>
      </c>
      <c r="H60" s="38">
        <f t="shared" si="15"/>
        <v>3400</v>
      </c>
      <c r="I60" s="141">
        <f t="shared" si="17"/>
        <v>30</v>
      </c>
      <c r="J60" s="66">
        <f t="shared" si="12"/>
        <v>85578.22590089483</v>
      </c>
      <c r="K60" s="45">
        <f t="shared" si="0"/>
        <v>85578.22590089483</v>
      </c>
      <c r="L60" s="74">
        <f t="shared" si="1"/>
        <v>91137.51058839928</v>
      </c>
      <c r="M60" s="152" t="str">
        <f t="shared" si="2"/>
        <v>Reserve £5,559</v>
      </c>
      <c r="N60" s="50"/>
      <c r="O60" s="2"/>
      <c r="P60" s="17">
        <f t="shared" si="3"/>
        <v>775.2989356188729</v>
      </c>
      <c r="Q60" s="11"/>
      <c r="R60" s="18">
        <f t="shared" si="19"/>
        <v>41</v>
      </c>
      <c r="S60" s="88">
        <f t="shared" si="4"/>
        <v>775.2989356188735</v>
      </c>
      <c r="T60" s="18">
        <f t="shared" si="5"/>
      </c>
      <c r="U60" s="2"/>
    </row>
    <row r="61" spans="2:21" ht="15">
      <c r="B61" s="29"/>
      <c r="C61" s="39">
        <f t="shared" si="18"/>
        <v>6</v>
      </c>
      <c r="D61" s="143">
        <f t="shared" si="6"/>
        <v>7</v>
      </c>
      <c r="E61" s="160">
        <f t="shared" si="9"/>
        <v>728.0065806576971</v>
      </c>
      <c r="F61" s="55">
        <f t="shared" si="16"/>
        <v>775.2989356188735</v>
      </c>
      <c r="G61" s="37">
        <f t="shared" si="14"/>
        <v>3500</v>
      </c>
      <c r="H61" s="38">
        <f t="shared" si="15"/>
        <v>3400</v>
      </c>
      <c r="I61" s="141">
        <f t="shared" si="17"/>
        <v>30</v>
      </c>
      <c r="J61" s="66">
        <f t="shared" si="12"/>
        <v>85181.71661636452</v>
      </c>
      <c r="K61" s="45">
        <f t="shared" si="0"/>
        <v>85181.71661636452</v>
      </c>
      <c r="L61" s="74">
        <f t="shared" si="1"/>
        <v>90893.84713121274</v>
      </c>
      <c r="M61" s="152" t="str">
        <f t="shared" si="2"/>
        <v>Reserve £5,712</v>
      </c>
      <c r="N61" s="50"/>
      <c r="O61" s="2"/>
      <c r="P61" s="17">
        <f t="shared" si="3"/>
        <v>775.2989356188729</v>
      </c>
      <c r="Q61" s="11"/>
      <c r="R61" s="18">
        <f t="shared" si="19"/>
        <v>42</v>
      </c>
      <c r="S61" s="88">
        <f t="shared" si="4"/>
        <v>775.2989356188735</v>
      </c>
      <c r="T61" s="18">
        <f t="shared" si="5"/>
      </c>
      <c r="U61" s="2"/>
    </row>
    <row r="62" spans="2:21" ht="15">
      <c r="B62" s="29"/>
      <c r="C62" s="39">
        <f t="shared" si="18"/>
        <v>7</v>
      </c>
      <c r="D62" s="143">
        <f t="shared" si="6"/>
        <v>7</v>
      </c>
      <c r="E62" s="160">
        <f t="shared" si="9"/>
        <v>726.5760699018474</v>
      </c>
      <c r="F62" s="55">
        <f t="shared" si="16"/>
        <v>775.2989356188735</v>
      </c>
      <c r="G62" s="37">
        <f t="shared" si="14"/>
        <v>3500</v>
      </c>
      <c r="H62" s="38">
        <f t="shared" si="15"/>
        <v>3400</v>
      </c>
      <c r="I62" s="141">
        <f t="shared" si="17"/>
        <v>30</v>
      </c>
      <c r="J62" s="66">
        <f t="shared" si="12"/>
        <v>84782.89436100777</v>
      </c>
      <c r="K62" s="45">
        <f t="shared" si="0"/>
        <v>84782.89436100777</v>
      </c>
      <c r="L62" s="74">
        <f t="shared" si="1"/>
        <v>90648.76230385927</v>
      </c>
      <c r="M62" s="152" t="str">
        <f t="shared" si="2"/>
        <v>Reserve £5,866</v>
      </c>
      <c r="N62" s="50"/>
      <c r="O62" s="2"/>
      <c r="P62" s="17">
        <f t="shared" si="3"/>
        <v>775.2989356188729</v>
      </c>
      <c r="Q62" s="11"/>
      <c r="R62" s="18">
        <f t="shared" si="19"/>
        <v>43</v>
      </c>
      <c r="S62" s="88">
        <f t="shared" si="4"/>
        <v>775.2989356188735</v>
      </c>
      <c r="T62" s="18">
        <f t="shared" si="5"/>
      </c>
      <c r="U62" s="2"/>
    </row>
    <row r="63" spans="2:21" ht="15">
      <c r="B63" s="29"/>
      <c r="C63" s="39">
        <f t="shared" si="18"/>
        <v>8</v>
      </c>
      <c r="D63" s="143">
        <f t="shared" si="6"/>
        <v>7</v>
      </c>
      <c r="E63" s="160">
        <f t="shared" si="9"/>
        <v>725.1294566652698</v>
      </c>
      <c r="F63" s="55">
        <f t="shared" si="16"/>
        <v>775.2989356188735</v>
      </c>
      <c r="G63" s="37">
        <f t="shared" si="14"/>
        <v>3500</v>
      </c>
      <c r="H63" s="38">
        <f t="shared" si="15"/>
        <v>3400</v>
      </c>
      <c r="I63" s="141">
        <f t="shared" si="17"/>
        <v>30</v>
      </c>
      <c r="J63" s="66">
        <f t="shared" si="12"/>
        <v>84381.74564249477</v>
      </c>
      <c r="K63" s="45">
        <f t="shared" si="0"/>
        <v>84381.74564249477</v>
      </c>
      <c r="L63" s="74">
        <f t="shared" si="1"/>
        <v>90402.2478150129</v>
      </c>
      <c r="M63" s="152" t="str">
        <f t="shared" si="2"/>
        <v>Reserve £6,021</v>
      </c>
      <c r="N63" s="50"/>
      <c r="O63" s="2"/>
      <c r="P63" s="17">
        <f t="shared" si="3"/>
        <v>775.298935618873</v>
      </c>
      <c r="Q63" s="11"/>
      <c r="R63" s="18">
        <f t="shared" si="19"/>
        <v>44</v>
      </c>
      <c r="S63" s="88">
        <f t="shared" si="4"/>
        <v>775.2989356188735</v>
      </c>
      <c r="T63" s="18">
        <f t="shared" si="5"/>
      </c>
      <c r="U63" s="2"/>
    </row>
    <row r="64" spans="2:21" ht="15">
      <c r="B64" s="29"/>
      <c r="C64" s="39">
        <f t="shared" si="18"/>
        <v>9</v>
      </c>
      <c r="D64" s="143">
        <f t="shared" si="6"/>
        <v>7</v>
      </c>
      <c r="E64" s="160">
        <f t="shared" si="9"/>
        <v>723.6664924102068</v>
      </c>
      <c r="F64" s="55">
        <f t="shared" si="16"/>
        <v>775.2989356188735</v>
      </c>
      <c r="G64" s="37">
        <f t="shared" si="14"/>
        <v>3500</v>
      </c>
      <c r="H64" s="38">
        <f t="shared" si="15"/>
        <v>3400</v>
      </c>
      <c r="I64" s="141">
        <f t="shared" si="17"/>
        <v>30</v>
      </c>
      <c r="J64" s="66">
        <f t="shared" si="12"/>
        <v>83978.25688979046</v>
      </c>
      <c r="K64" s="45">
        <f t="shared" si="0"/>
        <v>83978.25688979046</v>
      </c>
      <c r="L64" s="74">
        <f t="shared" si="1"/>
        <v>90154.2953249816</v>
      </c>
      <c r="M64" s="152" t="str">
        <f t="shared" si="2"/>
        <v>Reserve £6,176</v>
      </c>
      <c r="N64" s="50"/>
      <c r="O64" s="2"/>
      <c r="P64" s="17">
        <f t="shared" si="3"/>
        <v>775.2989356188729</v>
      </c>
      <c r="Q64" s="11"/>
      <c r="R64" s="18">
        <f t="shared" si="19"/>
        <v>45</v>
      </c>
      <c r="S64" s="88">
        <f t="shared" si="4"/>
        <v>775.2989356188735</v>
      </c>
      <c r="T64" s="18">
        <f t="shared" si="5"/>
      </c>
      <c r="U64" s="2"/>
    </row>
    <row r="65" spans="2:21" ht="15">
      <c r="B65" s="29"/>
      <c r="C65" s="39">
        <f t="shared" si="18"/>
        <v>10</v>
      </c>
      <c r="D65" s="143">
        <f t="shared" si="6"/>
        <v>7</v>
      </c>
      <c r="E65" s="160">
        <f t="shared" si="9"/>
        <v>722.1869235080297</v>
      </c>
      <c r="F65" s="55">
        <f t="shared" si="16"/>
        <v>775.2989356188735</v>
      </c>
      <c r="G65" s="37">
        <f t="shared" si="14"/>
        <v>3500</v>
      </c>
      <c r="H65" s="38">
        <f t="shared" si="15"/>
        <v>3400</v>
      </c>
      <c r="I65" s="141">
        <f t="shared" si="17"/>
        <v>30</v>
      </c>
      <c r="J65" s="66">
        <f t="shared" si="12"/>
        <v>83572.41445269536</v>
      </c>
      <c r="K65" s="45">
        <f t="shared" si="0"/>
        <v>83572.41445269536</v>
      </c>
      <c r="L65" s="74">
        <f t="shared" si="1"/>
        <v>89904.89644542513</v>
      </c>
      <c r="M65" s="152" t="str">
        <f t="shared" si="2"/>
        <v>Reserve £6,332</v>
      </c>
      <c r="N65" s="50"/>
      <c r="O65" s="2"/>
      <c r="P65" s="17">
        <f t="shared" si="3"/>
        <v>775.2989356188727</v>
      </c>
      <c r="Q65" s="11"/>
      <c r="R65" s="18">
        <f t="shared" si="19"/>
        <v>46</v>
      </c>
      <c r="S65" s="88">
        <f t="shared" si="4"/>
        <v>775.2989356188735</v>
      </c>
      <c r="T65" s="18">
        <f t="shared" si="5"/>
      </c>
      <c r="U65" s="2"/>
    </row>
    <row r="66" spans="2:21" ht="15">
      <c r="B66" s="29"/>
      <c r="C66" s="39">
        <f t="shared" si="18"/>
        <v>11</v>
      </c>
      <c r="D66" s="143">
        <f t="shared" si="6"/>
        <v>7</v>
      </c>
      <c r="E66" s="160">
        <f t="shared" si="9"/>
        <v>720.6904911080746</v>
      </c>
      <c r="F66" s="55">
        <f t="shared" si="16"/>
        <v>775.2989356188735</v>
      </c>
      <c r="G66" s="37">
        <f t="shared" si="14"/>
        <v>3500</v>
      </c>
      <c r="H66" s="38">
        <f t="shared" si="15"/>
        <v>3400</v>
      </c>
      <c r="I66" s="141">
        <f t="shared" si="17"/>
        <v>30</v>
      </c>
      <c r="J66" s="66">
        <f t="shared" si="12"/>
        <v>83164.20460138387</v>
      </c>
      <c r="K66" s="45">
        <f t="shared" si="0"/>
        <v>83164.20460138387</v>
      </c>
      <c r="L66" s="74">
        <f t="shared" si="1"/>
        <v>89654.04273907123</v>
      </c>
      <c r="M66" s="152" t="str">
        <f t="shared" si="2"/>
        <v>Reserve £6,490</v>
      </c>
      <c r="N66" s="50"/>
      <c r="O66" s="2"/>
      <c r="P66" s="17">
        <f t="shared" si="3"/>
        <v>775.298935618873</v>
      </c>
      <c r="Q66" s="11"/>
      <c r="R66" s="18">
        <f t="shared" si="19"/>
        <v>47</v>
      </c>
      <c r="S66" s="88">
        <f t="shared" si="4"/>
        <v>775.2989356188735</v>
      </c>
      <c r="T66" s="18">
        <f t="shared" si="5"/>
      </c>
      <c r="U66" s="2"/>
    </row>
    <row r="67" spans="2:21" ht="15">
      <c r="B67" s="77">
        <f>B56</f>
        <v>4</v>
      </c>
      <c r="C67" s="40">
        <f t="shared" si="18"/>
        <v>12</v>
      </c>
      <c r="D67" s="155">
        <f t="shared" si="6"/>
        <v>7</v>
      </c>
      <c r="E67" s="160">
        <f t="shared" si="9"/>
        <v>719.1769310023981</v>
      </c>
      <c r="F67" s="124">
        <f t="shared" si="16"/>
        <v>775.2989356188735</v>
      </c>
      <c r="G67" s="135">
        <f t="shared" si="14"/>
        <v>3500</v>
      </c>
      <c r="H67" s="134">
        <f t="shared" si="15"/>
        <v>3400</v>
      </c>
      <c r="I67" s="141">
        <f t="shared" si="17"/>
        <v>30</v>
      </c>
      <c r="J67" s="66">
        <f t="shared" si="12"/>
        <v>82753.61352593973</v>
      </c>
      <c r="K67" s="46">
        <f t="shared" si="0"/>
        <v>82753.61352593973</v>
      </c>
      <c r="L67" s="75">
        <f t="shared" si="1"/>
        <v>89401.72571943027</v>
      </c>
      <c r="M67" s="153" t="str">
        <f t="shared" si="2"/>
        <v>Reserve £6,648</v>
      </c>
      <c r="N67" s="51"/>
      <c r="O67" s="2"/>
      <c r="P67" s="19">
        <f t="shared" si="3"/>
        <v>775.2989356188729</v>
      </c>
      <c r="Q67" s="13"/>
      <c r="R67" s="20">
        <f t="shared" si="19"/>
        <v>48</v>
      </c>
      <c r="S67" s="89">
        <f t="shared" si="4"/>
        <v>775.2989356188735</v>
      </c>
      <c r="T67" s="133">
        <f t="shared" si="5"/>
      </c>
      <c r="U67" s="2"/>
    </row>
    <row r="68" spans="2:21" ht="15">
      <c r="B68" s="28">
        <f>B67+1</f>
        <v>5</v>
      </c>
      <c r="C68" s="147">
        <f t="shared" si="18"/>
        <v>1</v>
      </c>
      <c r="D68" s="142">
        <f t="shared" si="6"/>
        <v>7</v>
      </c>
      <c r="E68" s="159">
        <f t="shared" si="9"/>
        <v>717.6459734863101</v>
      </c>
      <c r="F68" s="56">
        <f>F67*(1+$F$10/100)</f>
        <v>775.2989356188735</v>
      </c>
      <c r="G68" s="37">
        <f t="shared" si="14"/>
        <v>3500</v>
      </c>
      <c r="H68" s="35">
        <f t="shared" si="15"/>
        <v>3400</v>
      </c>
      <c r="I68" s="140">
        <f t="shared" si="17"/>
        <v>30</v>
      </c>
      <c r="J68" s="65">
        <f t="shared" si="12"/>
        <v>82340.62733588883</v>
      </c>
      <c r="K68" s="44">
        <f t="shared" si="0"/>
        <v>82340.62733588883</v>
      </c>
      <c r="L68" s="73">
        <f t="shared" si="1"/>
        <v>89147.93685050806</v>
      </c>
      <c r="M68" s="151" t="str">
        <f t="shared" si="2"/>
        <v>Reserve £6,807</v>
      </c>
      <c r="N68" s="49"/>
      <c r="O68" s="3"/>
      <c r="P68" s="17">
        <f t="shared" si="3"/>
        <v>775.2989356188729</v>
      </c>
      <c r="Q68" s="11"/>
      <c r="R68" s="18">
        <f t="shared" si="19"/>
        <v>49</v>
      </c>
      <c r="S68" s="87">
        <f t="shared" si="4"/>
        <v>775.2989356188735</v>
      </c>
      <c r="T68" s="18">
        <f t="shared" si="5"/>
      </c>
      <c r="U68" s="2"/>
    </row>
    <row r="69" spans="2:21" ht="15">
      <c r="B69" s="29"/>
      <c r="C69" s="39">
        <f t="shared" si="18"/>
        <v>2</v>
      </c>
      <c r="D69" s="143">
        <f t="shared" si="6"/>
        <v>7</v>
      </c>
      <c r="E69" s="160">
        <f t="shared" si="9"/>
        <v>716.0973432145227</v>
      </c>
      <c r="F69" s="55">
        <f t="shared" si="16"/>
        <v>775.2989356188735</v>
      </c>
      <c r="G69" s="37">
        <f t="shared" si="14"/>
        <v>3500</v>
      </c>
      <c r="H69" s="38">
        <f t="shared" si="15"/>
        <v>3400</v>
      </c>
      <c r="I69" s="141">
        <f t="shared" si="17"/>
        <v>30</v>
      </c>
      <c r="J69" s="66">
        <f t="shared" si="12"/>
        <v>81925.2320597293</v>
      </c>
      <c r="K69" s="45">
        <f t="shared" si="0"/>
        <v>81925.2320597293</v>
      </c>
      <c r="L69" s="74">
        <f t="shared" si="1"/>
        <v>88892.66754651716</v>
      </c>
      <c r="M69" s="152" t="str">
        <f t="shared" si="2"/>
        <v>Reserve £6,967</v>
      </c>
      <c r="N69" s="50"/>
      <c r="O69" s="2"/>
      <c r="P69" s="17">
        <f t="shared" si="3"/>
        <v>775.2989356188726</v>
      </c>
      <c r="Q69" s="11"/>
      <c r="R69" s="18">
        <f t="shared" si="19"/>
        <v>50</v>
      </c>
      <c r="S69" s="88">
        <f t="shared" si="4"/>
        <v>775.2989356188735</v>
      </c>
      <c r="T69" s="18">
        <f t="shared" si="5"/>
      </c>
      <c r="U69" s="2"/>
    </row>
    <row r="70" spans="2:21" ht="15">
      <c r="B70" s="29"/>
      <c r="C70" s="39">
        <f t="shared" si="18"/>
        <v>3</v>
      </c>
      <c r="D70" s="143">
        <f t="shared" si="6"/>
        <v>7</v>
      </c>
      <c r="E70" s="160">
        <f t="shared" si="9"/>
        <v>714.5307590527569</v>
      </c>
      <c r="F70" s="55">
        <f t="shared" si="16"/>
        <v>775.2989356188735</v>
      </c>
      <c r="G70" s="37">
        <f t="shared" si="14"/>
        <v>3500</v>
      </c>
      <c r="H70" s="38">
        <f t="shared" si="15"/>
        <v>3400</v>
      </c>
      <c r="I70" s="141">
        <f t="shared" si="17"/>
        <v>30</v>
      </c>
      <c r="J70" s="66">
        <f t="shared" si="12"/>
        <v>81507.41364445885</v>
      </c>
      <c r="K70" s="45">
        <f t="shared" si="0"/>
        <v>81507.41364445885</v>
      </c>
      <c r="L70" s="74">
        <f t="shared" si="1"/>
        <v>88635.9091715863</v>
      </c>
      <c r="M70" s="152" t="str">
        <f t="shared" si="2"/>
        <v>Reserve £7,128</v>
      </c>
      <c r="N70" s="50"/>
      <c r="O70" s="2"/>
      <c r="P70" s="17">
        <f t="shared" si="3"/>
        <v>775.2989356188729</v>
      </c>
      <c r="Q70" s="11"/>
      <c r="R70" s="18">
        <f t="shared" si="19"/>
        <v>51</v>
      </c>
      <c r="S70" s="88">
        <f t="shared" si="4"/>
        <v>775.2989356188735</v>
      </c>
      <c r="T70" s="18">
        <f t="shared" si="5"/>
      </c>
      <c r="U70" s="2"/>
    </row>
    <row r="71" spans="2:21" ht="15">
      <c r="B71" s="29"/>
      <c r="C71" s="39">
        <f t="shared" si="18"/>
        <v>4</v>
      </c>
      <c r="D71" s="143">
        <f t="shared" si="6"/>
        <v>7</v>
      </c>
      <c r="E71" s="160">
        <f t="shared" si="9"/>
        <v>712.9459339246397</v>
      </c>
      <c r="F71" s="55">
        <f t="shared" si="16"/>
        <v>775.2989356188735</v>
      </c>
      <c r="G71" s="37">
        <f t="shared" si="14"/>
        <v>3500</v>
      </c>
      <c r="H71" s="38">
        <f t="shared" si="15"/>
        <v>3400</v>
      </c>
      <c r="I71" s="141">
        <f t="shared" si="17"/>
        <v>30</v>
      </c>
      <c r="J71" s="66">
        <f t="shared" si="12"/>
        <v>81087.15795509932</v>
      </c>
      <c r="K71" s="45">
        <f t="shared" si="0"/>
        <v>81087.15795509932</v>
      </c>
      <c r="L71" s="74">
        <f t="shared" si="1"/>
        <v>88377.65303946835</v>
      </c>
      <c r="M71" s="152" t="str">
        <f t="shared" si="2"/>
        <v>Reserve £7,290</v>
      </c>
      <c r="N71" s="50"/>
      <c r="O71" s="2"/>
      <c r="P71" s="17">
        <f t="shared" si="3"/>
        <v>775.2989356188727</v>
      </c>
      <c r="Q71" s="11"/>
      <c r="R71" s="18">
        <f t="shared" si="19"/>
        <v>52</v>
      </c>
      <c r="S71" s="88">
        <f t="shared" si="4"/>
        <v>775.2989356188735</v>
      </c>
      <c r="T71" s="18">
        <f t="shared" si="5"/>
      </c>
      <c r="U71" s="2"/>
    </row>
    <row r="72" spans="2:21" ht="15">
      <c r="B72" s="29"/>
      <c r="C72" s="39">
        <f t="shared" si="18"/>
        <v>5</v>
      </c>
      <c r="D72" s="143">
        <f t="shared" si="6"/>
        <v>7</v>
      </c>
      <c r="E72" s="160">
        <f t="shared" si="9"/>
        <v>711.3425746537125</v>
      </c>
      <c r="F72" s="55">
        <f t="shared" si="16"/>
        <v>775.2989356188735</v>
      </c>
      <c r="G72" s="37">
        <f t="shared" si="14"/>
        <v>3500</v>
      </c>
      <c r="H72" s="38">
        <f t="shared" si="15"/>
        <v>3400</v>
      </c>
      <c r="I72" s="141">
        <f t="shared" si="17"/>
        <v>30</v>
      </c>
      <c r="J72" s="66">
        <f t="shared" si="12"/>
        <v>80664.45077421852</v>
      </c>
      <c r="K72" s="45">
        <f t="shared" si="0"/>
        <v>80664.45077421852</v>
      </c>
      <c r="L72" s="74">
        <f t="shared" si="1"/>
        <v>88117.89041324638</v>
      </c>
      <c r="M72" s="152" t="str">
        <f t="shared" si="2"/>
        <v>Reserve £7,453</v>
      </c>
      <c r="N72" s="50"/>
      <c r="O72" s="2"/>
      <c r="P72" s="17">
        <f t="shared" si="3"/>
        <v>775.2989356188727</v>
      </c>
      <c r="Q72" s="11"/>
      <c r="R72" s="18">
        <f t="shared" si="19"/>
        <v>53</v>
      </c>
      <c r="S72" s="88">
        <f t="shared" si="4"/>
        <v>775.2989356188735</v>
      </c>
      <c r="T72" s="18">
        <f t="shared" si="5"/>
      </c>
      <c r="U72" s="2"/>
    </row>
    <row r="73" spans="2:21" ht="15">
      <c r="B73" s="29"/>
      <c r="C73" s="39">
        <f t="shared" si="18"/>
        <v>6</v>
      </c>
      <c r="D73" s="143">
        <f t="shared" si="6"/>
        <v>7</v>
      </c>
      <c r="E73" s="160">
        <f t="shared" si="9"/>
        <v>709.7203818003723</v>
      </c>
      <c r="F73" s="55">
        <f t="shared" si="16"/>
        <v>775.2989356188735</v>
      </c>
      <c r="G73" s="37">
        <f t="shared" si="14"/>
        <v>3500</v>
      </c>
      <c r="H73" s="38">
        <f t="shared" si="15"/>
        <v>3400</v>
      </c>
      <c r="I73" s="141">
        <f t="shared" si="17"/>
        <v>30</v>
      </c>
      <c r="J73" s="66">
        <f t="shared" si="12"/>
        <v>80239.27780144925</v>
      </c>
      <c r="K73" s="45">
        <f t="shared" si="0"/>
        <v>80239.27780144925</v>
      </c>
      <c r="L73" s="74">
        <f t="shared" si="1"/>
        <v>87856.61250503811</v>
      </c>
      <c r="M73" s="152" t="str">
        <f t="shared" si="2"/>
        <v>Reserve £7,617</v>
      </c>
      <c r="N73" s="50"/>
      <c r="O73" s="2"/>
      <c r="P73" s="17">
        <f t="shared" si="3"/>
        <v>775.2989356188729</v>
      </c>
      <c r="Q73" s="11"/>
      <c r="R73" s="18">
        <f t="shared" si="19"/>
        <v>54</v>
      </c>
      <c r="S73" s="88">
        <f t="shared" si="4"/>
        <v>775.2989356188735</v>
      </c>
      <c r="T73" s="18">
        <f t="shared" si="5"/>
      </c>
      <c r="U73" s="2"/>
    </row>
    <row r="74" spans="2:21" ht="15">
      <c r="B74" s="29"/>
      <c r="C74" s="39">
        <f t="shared" si="18"/>
        <v>7</v>
      </c>
      <c r="D74" s="143">
        <f t="shared" si="6"/>
        <v>7</v>
      </c>
      <c r="E74" s="160">
        <f t="shared" si="9"/>
        <v>708.0790494935515</v>
      </c>
      <c r="F74" s="55">
        <f t="shared" si="16"/>
        <v>775.2989356188735</v>
      </c>
      <c r="G74" s="37">
        <f t="shared" si="14"/>
        <v>3500</v>
      </c>
      <c r="H74" s="38">
        <f t="shared" si="15"/>
        <v>3400</v>
      </c>
      <c r="I74" s="141">
        <f t="shared" si="17"/>
        <v>30</v>
      </c>
      <c r="J74" s="66">
        <f t="shared" si="12"/>
        <v>79811.62465300549</v>
      </c>
      <c r="K74" s="45">
        <f t="shared" si="0"/>
        <v>79811.62465300549</v>
      </c>
      <c r="L74" s="74">
        <f t="shared" si="1"/>
        <v>87593.81047569863</v>
      </c>
      <c r="M74" s="152" t="str">
        <f t="shared" si="2"/>
        <v>Reserve £7,782</v>
      </c>
      <c r="N74" s="50"/>
      <c r="O74" s="2"/>
      <c r="P74" s="17">
        <f t="shared" si="3"/>
        <v>775.2989356188729</v>
      </c>
      <c r="Q74" s="11"/>
      <c r="R74" s="18">
        <f t="shared" si="19"/>
        <v>55</v>
      </c>
      <c r="S74" s="88">
        <f t="shared" si="4"/>
        <v>775.2989356188735</v>
      </c>
      <c r="T74" s="18">
        <f t="shared" si="5"/>
      </c>
      <c r="U74" s="2"/>
    </row>
    <row r="75" spans="2:21" ht="15">
      <c r="B75" s="29"/>
      <c r="C75" s="39">
        <f t="shared" si="18"/>
        <v>8</v>
      </c>
      <c r="D75" s="143">
        <f t="shared" si="6"/>
        <v>7</v>
      </c>
      <c r="E75" s="160">
        <f t="shared" si="9"/>
        <v>706.4182652569393</v>
      </c>
      <c r="F75" s="55">
        <f t="shared" si="16"/>
        <v>775.2989356188735</v>
      </c>
      <c r="G75" s="37">
        <f t="shared" si="14"/>
        <v>3500</v>
      </c>
      <c r="H75" s="38">
        <f t="shared" si="15"/>
        <v>3400</v>
      </c>
      <c r="I75" s="141">
        <f t="shared" si="17"/>
        <v>30</v>
      </c>
      <c r="J75" s="66">
        <f t="shared" si="12"/>
        <v>79381.47686119581</v>
      </c>
      <c r="K75" s="45">
        <f t="shared" si="0"/>
        <v>79381.47686119581</v>
      </c>
      <c r="L75" s="74">
        <f t="shared" si="1"/>
        <v>87329.47543452133</v>
      </c>
      <c r="M75" s="152" t="str">
        <f t="shared" si="2"/>
        <v>Reserve £7,948</v>
      </c>
      <c r="N75" s="50"/>
      <c r="O75" s="2"/>
      <c r="P75" s="17">
        <f t="shared" si="3"/>
        <v>775.2989356188727</v>
      </c>
      <c r="Q75" s="11"/>
      <c r="R75" s="18">
        <f t="shared" si="19"/>
        <v>56</v>
      </c>
      <c r="S75" s="88">
        <f t="shared" si="4"/>
        <v>775.2989356188735</v>
      </c>
      <c r="T75" s="18">
        <f t="shared" si="5"/>
      </c>
      <c r="U75" s="2"/>
    </row>
    <row r="76" spans="2:21" ht="15">
      <c r="B76" s="29"/>
      <c r="C76" s="39">
        <f t="shared" si="18"/>
        <v>9</v>
      </c>
      <c r="D76" s="143">
        <f t="shared" si="6"/>
        <v>7</v>
      </c>
      <c r="E76" s="160">
        <f t="shared" si="9"/>
        <v>704.737709829536</v>
      </c>
      <c r="F76" s="55">
        <f t="shared" si="16"/>
        <v>775.2989356188735</v>
      </c>
      <c r="G76" s="37">
        <f t="shared" si="14"/>
        <v>3500</v>
      </c>
      <c r="H76" s="38">
        <f t="shared" si="15"/>
        <v>3400</v>
      </c>
      <c r="I76" s="141">
        <f t="shared" si="17"/>
        <v>30</v>
      </c>
      <c r="J76" s="66">
        <f t="shared" si="12"/>
        <v>78948.81987393391</v>
      </c>
      <c r="K76" s="45">
        <f t="shared" si="0"/>
        <v>78948.81987393391</v>
      </c>
      <c r="L76" s="74">
        <f t="shared" si="1"/>
        <v>87063.59843893716</v>
      </c>
      <c r="M76" s="152" t="str">
        <f t="shared" si="2"/>
        <v>Reserve £8,115</v>
      </c>
      <c r="N76" s="50"/>
      <c r="O76" s="2"/>
      <c r="P76" s="17">
        <f t="shared" si="3"/>
        <v>775.2989356188727</v>
      </c>
      <c r="Q76" s="11"/>
      <c r="R76" s="18">
        <f t="shared" si="19"/>
        <v>57</v>
      </c>
      <c r="S76" s="88">
        <f t="shared" si="4"/>
        <v>775.2989356188735</v>
      </c>
      <c r="T76" s="18">
        <f t="shared" si="5"/>
      </c>
      <c r="U76" s="2"/>
    </row>
    <row r="77" spans="2:21" ht="15">
      <c r="B77" s="29"/>
      <c r="C77" s="39">
        <f t="shared" si="18"/>
        <v>10</v>
      </c>
      <c r="D77" s="143">
        <f t="shared" si="6"/>
        <v>7</v>
      </c>
      <c r="E77" s="160">
        <f t="shared" si="9"/>
        <v>703.0370569803235</v>
      </c>
      <c r="F77" s="55">
        <f t="shared" si="16"/>
        <v>775.2989356188735</v>
      </c>
      <c r="G77" s="37">
        <f t="shared" si="14"/>
        <v>3500</v>
      </c>
      <c r="H77" s="38">
        <f t="shared" si="15"/>
        <v>3400</v>
      </c>
      <c r="I77" s="141">
        <f t="shared" si="17"/>
        <v>30</v>
      </c>
      <c r="J77" s="66">
        <f t="shared" si="12"/>
        <v>78513.63905424632</v>
      </c>
      <c r="K77" s="45">
        <f t="shared" si="0"/>
        <v>78513.63905424632</v>
      </c>
      <c r="L77" s="74">
        <f t="shared" si="1"/>
        <v>86796.17049421209</v>
      </c>
      <c r="M77" s="152" t="str">
        <f t="shared" si="2"/>
        <v>Reserve £8,283</v>
      </c>
      <c r="N77" s="50"/>
      <c r="O77" s="2"/>
      <c r="P77" s="17">
        <f t="shared" si="3"/>
        <v>775.2989356188729</v>
      </c>
      <c r="Q77" s="11"/>
      <c r="R77" s="18">
        <f t="shared" si="19"/>
        <v>58</v>
      </c>
      <c r="S77" s="88">
        <f t="shared" si="4"/>
        <v>775.2989356188735</v>
      </c>
      <c r="T77" s="18">
        <f t="shared" si="5"/>
      </c>
      <c r="U77" s="2"/>
    </row>
    <row r="78" spans="2:21" ht="15">
      <c r="B78" s="29"/>
      <c r="C78" s="39">
        <f t="shared" si="18"/>
        <v>11</v>
      </c>
      <c r="D78" s="143">
        <f t="shared" si="6"/>
        <v>7</v>
      </c>
      <c r="E78" s="160">
        <f t="shared" si="9"/>
        <v>701.315973316826</v>
      </c>
      <c r="F78" s="55">
        <f t="shared" si="16"/>
        <v>775.2989356188735</v>
      </c>
      <c r="G78" s="37">
        <f t="shared" si="14"/>
        <v>3500</v>
      </c>
      <c r="H78" s="38">
        <f t="shared" si="15"/>
        <v>3400</v>
      </c>
      <c r="I78" s="141">
        <f t="shared" si="17"/>
        <v>30</v>
      </c>
      <c r="J78" s="66">
        <f t="shared" si="12"/>
        <v>78075.91967977722</v>
      </c>
      <c r="K78" s="45">
        <f t="shared" si="0"/>
        <v>78075.91967977722</v>
      </c>
      <c r="L78" s="74">
        <f t="shared" si="1"/>
        <v>86527.18255314277</v>
      </c>
      <c r="M78" s="152" t="str">
        <f t="shared" si="2"/>
        <v>Reserve £8,451</v>
      </c>
      <c r="N78" s="50"/>
      <c r="O78" s="2"/>
      <c r="P78" s="17">
        <f t="shared" si="3"/>
        <v>775.2989356188727</v>
      </c>
      <c r="Q78" s="11"/>
      <c r="R78" s="18">
        <f t="shared" si="19"/>
        <v>59</v>
      </c>
      <c r="S78" s="88">
        <f t="shared" si="4"/>
        <v>775.2989356188735</v>
      </c>
      <c r="T78" s="18">
        <f t="shared" si="5"/>
      </c>
      <c r="U78" s="2"/>
    </row>
    <row r="79" spans="2:21" ht="15">
      <c r="B79" s="77">
        <f>B68</f>
        <v>5</v>
      </c>
      <c r="C79" s="40">
        <f t="shared" si="18"/>
        <v>12</v>
      </c>
      <c r="D79" s="155">
        <f t="shared" si="6"/>
        <v>7</v>
      </c>
      <c r="E79" s="160">
        <f t="shared" si="9"/>
        <v>699.5741180873254</v>
      </c>
      <c r="F79" s="124">
        <f t="shared" si="16"/>
        <v>775.2989356188735</v>
      </c>
      <c r="G79" s="135">
        <f t="shared" si="14"/>
        <v>3500</v>
      </c>
      <c r="H79" s="134">
        <f t="shared" si="15"/>
        <v>3400</v>
      </c>
      <c r="I79" s="141">
        <f t="shared" si="17"/>
        <v>30</v>
      </c>
      <c r="J79" s="66">
        <f t="shared" si="12"/>
        <v>77635.64694229038</v>
      </c>
      <c r="K79" s="46">
        <f t="shared" si="0"/>
        <v>77635.64694229038</v>
      </c>
      <c r="L79" s="75">
        <f t="shared" si="1"/>
        <v>86256.62551575057</v>
      </c>
      <c r="M79" s="153" t="str">
        <f>IF(R79=$T$320,"Final payment=£"&amp;FIXED(S79,2),IF(R79&gt;$F$8*12,"Loan terminated",IF(ROUND(K79,0)&gt;ROUND(L79,0),"£"&amp;FIXED(K79-L79,0)&amp;" short","Reserve £"&amp;FIXED(L79-K79,0))&amp;IF(G79&gt;K78," Credit too big","")))</f>
        <v>Reserve £8,621</v>
      </c>
      <c r="N79" s="51"/>
      <c r="O79" s="2"/>
      <c r="P79" s="19">
        <f t="shared" si="3"/>
        <v>775.2989356188726</v>
      </c>
      <c r="Q79" s="13"/>
      <c r="R79" s="20">
        <f t="shared" si="19"/>
        <v>60</v>
      </c>
      <c r="S79" s="89">
        <f t="shared" si="4"/>
        <v>775.2989356188735</v>
      </c>
      <c r="T79" s="133">
        <f t="shared" si="5"/>
      </c>
      <c r="U79" s="2"/>
    </row>
    <row r="80" spans="2:21" ht="15">
      <c r="B80" s="28">
        <f>B79+1</f>
        <v>6</v>
      </c>
      <c r="C80" s="147">
        <f t="shared" si="18"/>
        <v>1</v>
      </c>
      <c r="D80" s="142">
        <f t="shared" si="6"/>
        <v>7</v>
      </c>
      <c r="E80" s="159">
        <f t="shared" si="9"/>
        <v>697.8111429764824</v>
      </c>
      <c r="F80" s="56">
        <f>F79*(1+$F$10/100)</f>
        <v>775.2989356188735</v>
      </c>
      <c r="G80" s="37">
        <f>IF($F$8*12&lt;R80,0,MIN(G68,K79))</f>
        <v>3500</v>
      </c>
      <c r="H80" s="35">
        <f t="shared" si="15"/>
        <v>3400</v>
      </c>
      <c r="I80" s="140">
        <f t="shared" si="17"/>
        <v>30</v>
      </c>
      <c r="J80" s="65">
        <f t="shared" si="12"/>
        <v>77192.80594716819</v>
      </c>
      <c r="K80" s="44">
        <f>IF(F$8*12&lt;R80,0,MAX((K79-G80)*(1+D80/1200)-F80+H80*(1-D80*(I80-30)/36000),0))</f>
        <v>77192.80594716819</v>
      </c>
      <c r="L80" s="73">
        <f>IF(F$8*12&lt;R80,0,L79*(1+D80/1200)-P80)</f>
        <v>85984.49022897356</v>
      </c>
      <c r="M80" s="151" t="str">
        <f aca="true" t="shared" si="20" ref="M80:M143">IF(R80=$T$320,"Final payment=£"&amp;FIXED(S80,2),IF(R80&gt;$F$8*12,"Loan terminated",IF(ROUND(K80,0)&gt;ROUND(L80,0),"£"&amp;FIXED(K80-L80,0)&amp;" short","Reserve £"&amp;FIXED(L80-K80,0))&amp;IF(G80&gt;K79," Credit too big","")))</f>
        <v>Reserve £8,792</v>
      </c>
      <c r="N80" s="49"/>
      <c r="O80" s="3"/>
      <c r="P80" s="17">
        <f t="shared" si="3"/>
        <v>775.2989356188727</v>
      </c>
      <c r="Q80" s="11"/>
      <c r="R80" s="18">
        <f t="shared" si="19"/>
        <v>61</v>
      </c>
      <c r="S80" s="87">
        <f>IF(R80&gt;$F$8*12,0,IF(K80&gt;0,F80,(MAX(K79-G80,0))*(1+D80/1200)))</f>
        <v>775.2989356188735</v>
      </c>
      <c r="T80" s="18">
        <f t="shared" si="5"/>
      </c>
      <c r="U80" s="2"/>
    </row>
    <row r="81" spans="2:21" ht="15">
      <c r="B81" s="29"/>
      <c r="C81" s="39">
        <f t="shared" si="18"/>
        <v>2</v>
      </c>
      <c r="D81" s="143">
        <f t="shared" si="6"/>
        <v>7</v>
      </c>
      <c r="E81" s="160">
        <f t="shared" si="9"/>
        <v>696.0266918941074</v>
      </c>
      <c r="F81" s="55">
        <f t="shared" si="16"/>
        <v>775.2989356188735</v>
      </c>
      <c r="G81" s="37">
        <f aca="true" t="shared" si="21" ref="G81:G92">IF($F$8*12&lt;R81,0,MIN(G69,K80))</f>
        <v>3500</v>
      </c>
      <c r="H81" s="38">
        <f t="shared" si="15"/>
        <v>3400</v>
      </c>
      <c r="I81" s="141">
        <f t="shared" si="17"/>
        <v>30</v>
      </c>
      <c r="J81" s="66">
        <f t="shared" si="12"/>
        <v>76747.3817129078</v>
      </c>
      <c r="K81" s="45">
        <f aca="true" t="shared" si="22" ref="K81:K92">IF(F$8*12&lt;R81,0,MAX((K80-G81)*(1+D81/1200)-F81+H81*(1-D81*(I81-30)/36000),0))</f>
        <v>76747.3817129078</v>
      </c>
      <c r="L81" s="74">
        <f aca="true" t="shared" si="23" ref="L81:L92">IF(F$8*12&lt;R81,0,L80*(1+D81/1200)-P81)</f>
        <v>85710.76748635703</v>
      </c>
      <c r="M81" s="152" t="str">
        <f t="shared" si="20"/>
        <v>Reserve £8,963</v>
      </c>
      <c r="N81" s="50"/>
      <c r="O81" s="2"/>
      <c r="P81" s="17">
        <f t="shared" si="3"/>
        <v>775.2989356188725</v>
      </c>
      <c r="Q81" s="11"/>
      <c r="R81" s="18">
        <f t="shared" si="19"/>
        <v>62</v>
      </c>
      <c r="S81" s="88">
        <f aca="true" t="shared" si="24" ref="S81:S92">IF(R81&gt;$F$8*12,0,IF(K81&gt;0,F81,(MAX(K80-G81,0))*(1+D81/1200)))</f>
        <v>775.2989356188735</v>
      </c>
      <c r="T81" s="18">
        <f t="shared" si="5"/>
      </c>
      <c r="U81" s="2"/>
    </row>
    <row r="82" spans="2:21" ht="15">
      <c r="B82" s="29"/>
      <c r="C82" s="39">
        <f t="shared" si="18"/>
        <v>3</v>
      </c>
      <c r="D82" s="143">
        <f t="shared" si="6"/>
        <v>7</v>
      </c>
      <c r="E82" s="160">
        <f t="shared" si="9"/>
        <v>694.2204007568124</v>
      </c>
      <c r="F82" s="55">
        <f t="shared" si="16"/>
        <v>775.2989356188735</v>
      </c>
      <c r="G82" s="37">
        <f t="shared" si="21"/>
        <v>3500</v>
      </c>
      <c r="H82" s="38">
        <f t="shared" si="15"/>
        <v>3400</v>
      </c>
      <c r="I82" s="141">
        <f t="shared" si="17"/>
        <v>30</v>
      </c>
      <c r="J82" s="66">
        <f t="shared" si="12"/>
        <v>76299.35917061422</v>
      </c>
      <c r="K82" s="45">
        <f t="shared" si="22"/>
        <v>76299.35917061422</v>
      </c>
      <c r="L82" s="74">
        <f t="shared" si="23"/>
        <v>85435.4480277419</v>
      </c>
      <c r="M82" s="152" t="str">
        <f t="shared" si="20"/>
        <v>Reserve £9,136</v>
      </c>
      <c r="N82" s="50"/>
      <c r="O82" s="2"/>
      <c r="P82" s="17">
        <f t="shared" si="3"/>
        <v>775.2989356188726</v>
      </c>
      <c r="Q82" s="11"/>
      <c r="R82" s="18">
        <f t="shared" si="19"/>
        <v>63</v>
      </c>
      <c r="S82" s="88">
        <f t="shared" si="24"/>
        <v>775.2989356188735</v>
      </c>
      <c r="T82" s="18">
        <f t="shared" si="5"/>
      </c>
      <c r="U82" s="2"/>
    </row>
    <row r="83" spans="2:21" ht="15">
      <c r="B83" s="29"/>
      <c r="C83" s="39">
        <f t="shared" si="18"/>
        <v>4</v>
      </c>
      <c r="D83" s="143">
        <f t="shared" si="6"/>
        <v>7</v>
      </c>
      <c r="E83" s="160">
        <f t="shared" si="9"/>
        <v>692.3918972622581</v>
      </c>
      <c r="F83" s="55">
        <f t="shared" si="16"/>
        <v>775.2989356188735</v>
      </c>
      <c r="G83" s="37">
        <f t="shared" si="21"/>
        <v>3500</v>
      </c>
      <c r="H83" s="38">
        <f t="shared" si="15"/>
        <v>3400</v>
      </c>
      <c r="I83" s="141">
        <f t="shared" si="17"/>
        <v>30</v>
      </c>
      <c r="J83" s="66">
        <f t="shared" si="12"/>
        <v>75848.72316349059</v>
      </c>
      <c r="K83" s="45">
        <f t="shared" si="22"/>
        <v>75848.72316349059</v>
      </c>
      <c r="L83" s="74">
        <f t="shared" si="23"/>
        <v>85158.52253895153</v>
      </c>
      <c r="M83" s="152" t="str">
        <f t="shared" si="20"/>
        <v>Reserve £9,310</v>
      </c>
      <c r="N83" s="50"/>
      <c r="O83" s="2"/>
      <c r="P83" s="17">
        <f t="shared" si="3"/>
        <v>775.2989356188725</v>
      </c>
      <c r="Q83" s="11"/>
      <c r="R83" s="18">
        <f t="shared" si="19"/>
        <v>64</v>
      </c>
      <c r="S83" s="88">
        <f t="shared" si="24"/>
        <v>775.2989356188735</v>
      </c>
      <c r="T83" s="18">
        <f t="shared" si="5"/>
      </c>
      <c r="U83" s="2"/>
    </row>
    <row r="84" spans="2:21" ht="15">
      <c r="B84" s="29"/>
      <c r="C84" s="39">
        <f t="shared" si="18"/>
        <v>5</v>
      </c>
      <c r="D84" s="143">
        <f aca="true" t="shared" si="25" ref="D84:D95">D83</f>
        <v>7</v>
      </c>
      <c r="E84" s="160">
        <f t="shared" si="9"/>
        <v>690.5408006557085</v>
      </c>
      <c r="F84" s="55">
        <f t="shared" si="16"/>
        <v>775.2989356188735</v>
      </c>
      <c r="G84" s="37">
        <f t="shared" si="21"/>
        <v>3500</v>
      </c>
      <c r="H84" s="38">
        <f t="shared" si="15"/>
        <v>3400</v>
      </c>
      <c r="I84" s="141">
        <f t="shared" si="17"/>
        <v>30</v>
      </c>
      <c r="J84" s="66">
        <f t="shared" si="12"/>
        <v>75395.45844632541</v>
      </c>
      <c r="K84" s="45">
        <f t="shared" si="22"/>
        <v>75395.45844632541</v>
      </c>
      <c r="L84" s="74">
        <f t="shared" si="23"/>
        <v>84879.98165147654</v>
      </c>
      <c r="M84" s="152" t="str">
        <f t="shared" si="20"/>
        <v>Reserve £9,485</v>
      </c>
      <c r="N84" s="50"/>
      <c r="O84" s="2"/>
      <c r="P84" s="17">
        <f aca="true" t="shared" si="26" ref="P84:P147">IF(R83&lt;F$8*12,PMT(D84/1200,F$8*12-R83,-L83,$A$9),0)</f>
        <v>775.2989356188726</v>
      </c>
      <c r="Q84" s="11"/>
      <c r="R84" s="18">
        <f t="shared" si="19"/>
        <v>65</v>
      </c>
      <c r="S84" s="88">
        <f t="shared" si="24"/>
        <v>775.2989356188735</v>
      </c>
      <c r="T84" s="18">
        <f aca="true" t="shared" si="27" ref="T84:T147">IF(F$9="r",IF(K84&gt;0.1,"",R84),IF(AND(K84&gt;0,R84&lt;$F$8*12),"",R84))</f>
      </c>
      <c r="U84" s="2"/>
    </row>
    <row r="85" spans="2:21" ht="15">
      <c r="B85" s="29"/>
      <c r="C85" s="39">
        <f t="shared" si="18"/>
        <v>6</v>
      </c>
      <c r="D85" s="143">
        <f t="shared" si="25"/>
        <v>7</v>
      </c>
      <c r="E85" s="160">
        <f t="shared" si="9"/>
        <v>688.6667214885784</v>
      </c>
      <c r="F85" s="55">
        <f t="shared" si="16"/>
        <v>775.2989356188735</v>
      </c>
      <c r="G85" s="37">
        <f t="shared" si="21"/>
        <v>3500</v>
      </c>
      <c r="H85" s="38">
        <f t="shared" si="15"/>
        <v>3400</v>
      </c>
      <c r="I85" s="141">
        <f t="shared" si="17"/>
        <v>30</v>
      </c>
      <c r="J85" s="66">
        <f t="shared" si="12"/>
        <v>74939.54968497677</v>
      </c>
      <c r="K85" s="45">
        <f t="shared" si="22"/>
        <v>74939.54968497677</v>
      </c>
      <c r="L85" s="74">
        <f t="shared" si="23"/>
        <v>84599.81594215795</v>
      </c>
      <c r="M85" s="152" t="str">
        <f t="shared" si="20"/>
        <v>Reserve £9,660</v>
      </c>
      <c r="N85" s="50"/>
      <c r="O85" s="2"/>
      <c r="P85" s="17">
        <f t="shared" si="26"/>
        <v>775.2989356188726</v>
      </c>
      <c r="Q85" s="11"/>
      <c r="R85" s="18">
        <f t="shared" si="19"/>
        <v>66</v>
      </c>
      <c r="S85" s="88">
        <f t="shared" si="24"/>
        <v>775.2989356188735</v>
      </c>
      <c r="T85" s="18">
        <f t="shared" si="27"/>
      </c>
      <c r="U85" s="2"/>
    </row>
    <row r="86" spans="2:21" ht="15">
      <c r="B86" s="29"/>
      <c r="C86" s="39">
        <f t="shared" si="18"/>
        <v>7</v>
      </c>
      <c r="D86" s="143">
        <f t="shared" si="25"/>
        <v>7</v>
      </c>
      <c r="E86" s="160">
        <f aca="true" t="shared" si="28" ref="E86:E149">IF(F$8*12&gt;R85,MAX(PMT(D86/1200,F$8*12-R85,-K85,A$9)+IF(K85&gt;L85,(K85-L85),0),0),0)</f>
        <v>686.7692613686564</v>
      </c>
      <c r="F86" s="55">
        <f t="shared" si="16"/>
        <v>775.2989356188735</v>
      </c>
      <c r="G86" s="37">
        <f t="shared" si="21"/>
        <v>3500</v>
      </c>
      <c r="H86" s="38">
        <f t="shared" si="15"/>
        <v>3400</v>
      </c>
      <c r="I86" s="141">
        <f t="shared" si="17"/>
        <v>30</v>
      </c>
      <c r="J86" s="66">
        <f aca="true" t="shared" si="29" ref="J86:J149">IF(ROUND(IF(R86&gt;$F$8*12,0,K86),0)&gt;ROUND(L86,0),"Pmt too low!",IF(AND(K86&gt;1,R86&lt;=$F$8*12),K86,"Loan repaid"))</f>
        <v>74480.98145585359</v>
      </c>
      <c r="K86" s="45">
        <f t="shared" si="22"/>
        <v>74480.98145585359</v>
      </c>
      <c r="L86" s="74">
        <f t="shared" si="23"/>
        <v>84318.01593286832</v>
      </c>
      <c r="M86" s="152" t="str">
        <f t="shared" si="20"/>
        <v>Reserve £9,837</v>
      </c>
      <c r="N86" s="50"/>
      <c r="O86" s="2"/>
      <c r="P86" s="17">
        <f t="shared" si="26"/>
        <v>775.2989356188725</v>
      </c>
      <c r="Q86" s="11"/>
      <c r="R86" s="18">
        <f t="shared" si="19"/>
        <v>67</v>
      </c>
      <c r="S86" s="88">
        <f t="shared" si="24"/>
        <v>775.2989356188735</v>
      </c>
      <c r="T86" s="18">
        <f t="shared" si="27"/>
      </c>
      <c r="U86" s="2"/>
    </row>
    <row r="87" spans="2:21" ht="15">
      <c r="B87" s="29"/>
      <c r="C87" s="39">
        <f t="shared" si="18"/>
        <v>8</v>
      </c>
      <c r="D87" s="143">
        <f t="shared" si="25"/>
        <v>7</v>
      </c>
      <c r="E87" s="160">
        <f t="shared" si="28"/>
        <v>684.8480127016658</v>
      </c>
      <c r="F87" s="55">
        <f t="shared" si="16"/>
        <v>775.2989356188735</v>
      </c>
      <c r="G87" s="37">
        <f t="shared" si="21"/>
        <v>3500</v>
      </c>
      <c r="H87" s="38">
        <f t="shared" si="15"/>
        <v>3400</v>
      </c>
      <c r="I87" s="141">
        <f t="shared" si="17"/>
        <v>30</v>
      </c>
      <c r="J87" s="66">
        <f t="shared" si="29"/>
        <v>74019.73824539386</v>
      </c>
      <c r="K87" s="45">
        <f t="shared" si="22"/>
        <v>74019.73824539386</v>
      </c>
      <c r="L87" s="74">
        <f t="shared" si="23"/>
        <v>84034.57209019118</v>
      </c>
      <c r="M87" s="152" t="str">
        <f t="shared" si="20"/>
        <v>Reserve £10,015</v>
      </c>
      <c r="N87" s="50"/>
      <c r="O87" s="2"/>
      <c r="P87" s="17">
        <f t="shared" si="26"/>
        <v>775.2989356188725</v>
      </c>
      <c r="Q87" s="11"/>
      <c r="R87" s="18">
        <f t="shared" si="19"/>
        <v>68</v>
      </c>
      <c r="S87" s="88">
        <f t="shared" si="24"/>
        <v>775.2989356188735</v>
      </c>
      <c r="T87" s="18">
        <f t="shared" si="27"/>
      </c>
      <c r="U87" s="2"/>
    </row>
    <row r="88" spans="2:21" ht="15">
      <c r="B88" s="29"/>
      <c r="C88" s="39">
        <f t="shared" si="18"/>
        <v>9</v>
      </c>
      <c r="D88" s="143">
        <f t="shared" si="25"/>
        <v>7</v>
      </c>
      <c r="E88" s="160">
        <f t="shared" si="28"/>
        <v>682.9025584238072</v>
      </c>
      <c r="F88" s="55">
        <f t="shared" si="16"/>
        <v>775.2989356188735</v>
      </c>
      <c r="G88" s="37">
        <f t="shared" si="21"/>
        <v>3500</v>
      </c>
      <c r="H88" s="38">
        <f t="shared" si="15"/>
        <v>3400</v>
      </c>
      <c r="I88" s="141">
        <f t="shared" si="17"/>
        <v>30</v>
      </c>
      <c r="J88" s="66">
        <f t="shared" si="29"/>
        <v>73555.80444953979</v>
      </c>
      <c r="K88" s="45">
        <f t="shared" si="22"/>
        <v>73555.80444953979</v>
      </c>
      <c r="L88" s="74">
        <f t="shared" si="23"/>
        <v>83749.47482509843</v>
      </c>
      <c r="M88" s="152" t="str">
        <f t="shared" si="20"/>
        <v>Reserve £10,194</v>
      </c>
      <c r="N88" s="50"/>
      <c r="O88" s="2"/>
      <c r="P88" s="17">
        <f t="shared" si="26"/>
        <v>775.2989356188726</v>
      </c>
      <c r="Q88" s="11"/>
      <c r="R88" s="18">
        <f t="shared" si="19"/>
        <v>69</v>
      </c>
      <c r="S88" s="88">
        <f t="shared" si="24"/>
        <v>775.2989356188735</v>
      </c>
      <c r="T88" s="18">
        <f t="shared" si="27"/>
      </c>
      <c r="U88" s="2"/>
    </row>
    <row r="89" spans="2:21" ht="15">
      <c r="B89" s="29"/>
      <c r="C89" s="39">
        <f t="shared" si="18"/>
        <v>10</v>
      </c>
      <c r="D89" s="143">
        <f t="shared" si="25"/>
        <v>7</v>
      </c>
      <c r="E89" s="160">
        <f t="shared" si="28"/>
        <v>680.9324717249187</v>
      </c>
      <c r="F89" s="55">
        <f t="shared" si="16"/>
        <v>775.2989356188735</v>
      </c>
      <c r="G89" s="37">
        <f t="shared" si="21"/>
        <v>3500</v>
      </c>
      <c r="H89" s="38">
        <f t="shared" si="15"/>
        <v>3400</v>
      </c>
      <c r="I89" s="141">
        <f t="shared" si="17"/>
        <v>30</v>
      </c>
      <c r="J89" s="66">
        <f t="shared" si="29"/>
        <v>73089.1643732099</v>
      </c>
      <c r="K89" s="45">
        <f t="shared" si="22"/>
        <v>73089.1643732099</v>
      </c>
      <c r="L89" s="74">
        <f t="shared" si="23"/>
        <v>83462.71449262596</v>
      </c>
      <c r="M89" s="152" t="str">
        <f t="shared" si="20"/>
        <v>Reserve £10,374</v>
      </c>
      <c r="N89" s="50"/>
      <c r="O89" s="2"/>
      <c r="P89" s="17">
        <f t="shared" si="26"/>
        <v>775.2989356188725</v>
      </c>
      <c r="Q89" s="11"/>
      <c r="R89" s="18">
        <f t="shared" si="19"/>
        <v>70</v>
      </c>
      <c r="S89" s="88">
        <f t="shared" si="24"/>
        <v>775.2989356188735</v>
      </c>
      <c r="T89" s="18">
        <f t="shared" si="27"/>
      </c>
      <c r="U89" s="2"/>
    </row>
    <row r="90" spans="2:21" ht="15">
      <c r="B90" s="29"/>
      <c r="C90" s="39">
        <f t="shared" si="18"/>
        <v>11</v>
      </c>
      <c r="D90" s="143">
        <f t="shared" si="25"/>
        <v>7</v>
      </c>
      <c r="E90" s="160">
        <f t="shared" si="28"/>
        <v>678.9373157618661</v>
      </c>
      <c r="F90" s="55">
        <f t="shared" si="16"/>
        <v>775.2989356188735</v>
      </c>
      <c r="G90" s="37">
        <f t="shared" si="21"/>
        <v>3500</v>
      </c>
      <c r="H90" s="38">
        <f t="shared" si="15"/>
        <v>3400</v>
      </c>
      <c r="I90" s="141">
        <f t="shared" si="17"/>
        <v>30</v>
      </c>
      <c r="J90" s="66">
        <f t="shared" si="29"/>
        <v>72619.80222976809</v>
      </c>
      <c r="K90" s="45">
        <f t="shared" si="22"/>
        <v>72619.80222976809</v>
      </c>
      <c r="L90" s="74">
        <f t="shared" si="23"/>
        <v>83174.28139154741</v>
      </c>
      <c r="M90" s="152" t="str">
        <f t="shared" si="20"/>
        <v>Reserve £10,554</v>
      </c>
      <c r="N90" s="50"/>
      <c r="O90" s="2"/>
      <c r="P90" s="17">
        <f t="shared" si="26"/>
        <v>775.2989356188726</v>
      </c>
      <c r="Q90" s="11"/>
      <c r="R90" s="18">
        <f t="shared" si="19"/>
        <v>71</v>
      </c>
      <c r="S90" s="88">
        <f t="shared" si="24"/>
        <v>775.2989356188735</v>
      </c>
      <c r="T90" s="18">
        <f t="shared" si="27"/>
      </c>
      <c r="U90" s="2"/>
    </row>
    <row r="91" spans="2:21" ht="15">
      <c r="B91" s="77">
        <f>B80</f>
        <v>6</v>
      </c>
      <c r="C91" s="40">
        <f t="shared" si="18"/>
        <v>12</v>
      </c>
      <c r="D91" s="155">
        <f t="shared" si="25"/>
        <v>7</v>
      </c>
      <c r="E91" s="160">
        <f t="shared" si="28"/>
        <v>676.9166433617535</v>
      </c>
      <c r="F91" s="124">
        <f t="shared" si="16"/>
        <v>775.2989356188735</v>
      </c>
      <c r="G91" s="135">
        <f t="shared" si="21"/>
        <v>3500</v>
      </c>
      <c r="H91" s="134">
        <f t="shared" si="15"/>
        <v>3400</v>
      </c>
      <c r="I91" s="141">
        <f t="shared" si="17"/>
        <v>30</v>
      </c>
      <c r="J91" s="66">
        <f t="shared" si="29"/>
        <v>72147.70214048952</v>
      </c>
      <c r="K91" s="46">
        <f t="shared" si="22"/>
        <v>72147.70214048952</v>
      </c>
      <c r="L91" s="75">
        <f t="shared" si="23"/>
        <v>82884.1657640459</v>
      </c>
      <c r="M91" s="153" t="str">
        <f t="shared" si="20"/>
        <v>Reserve £10,736</v>
      </c>
      <c r="N91" s="51"/>
      <c r="O91" s="2"/>
      <c r="P91" s="19">
        <f t="shared" si="26"/>
        <v>775.2989356188726</v>
      </c>
      <c r="Q91" s="13"/>
      <c r="R91" s="20">
        <f t="shared" si="19"/>
        <v>72</v>
      </c>
      <c r="S91" s="89">
        <f t="shared" si="24"/>
        <v>775.2989356188735</v>
      </c>
      <c r="T91" s="133">
        <f t="shared" si="27"/>
      </c>
      <c r="U91" s="2"/>
    </row>
    <row r="92" spans="2:21" ht="15">
      <c r="B92" s="28">
        <f>B91+1</f>
        <v>7</v>
      </c>
      <c r="C92" s="147">
        <f t="shared" si="18"/>
        <v>1</v>
      </c>
      <c r="D92" s="142">
        <f t="shared" si="25"/>
        <v>7</v>
      </c>
      <c r="E92" s="159">
        <f t="shared" si="28"/>
        <v>674.8699967145393</v>
      </c>
      <c r="F92" s="56">
        <f>F91*(1+$F$10/100)</f>
        <v>775.2989356188735</v>
      </c>
      <c r="G92" s="37">
        <f t="shared" si="21"/>
        <v>3500</v>
      </c>
      <c r="H92" s="35">
        <f t="shared" si="15"/>
        <v>3400</v>
      </c>
      <c r="I92" s="140">
        <f t="shared" si="17"/>
        <v>30</v>
      </c>
      <c r="J92" s="65">
        <f t="shared" si="29"/>
        <v>71672.8481340235</v>
      </c>
      <c r="K92" s="44">
        <f t="shared" si="22"/>
        <v>71672.8481340235</v>
      </c>
      <c r="L92" s="73">
        <f t="shared" si="23"/>
        <v>82592.35779538396</v>
      </c>
      <c r="M92" s="151" t="str">
        <f t="shared" si="20"/>
        <v>Reserve £10,920</v>
      </c>
      <c r="N92" s="49"/>
      <c r="O92" s="3"/>
      <c r="P92" s="17">
        <f t="shared" si="26"/>
        <v>775.2989356188727</v>
      </c>
      <c r="Q92" s="11"/>
      <c r="R92" s="18">
        <f t="shared" si="19"/>
        <v>73</v>
      </c>
      <c r="S92" s="87">
        <f t="shared" si="24"/>
        <v>775.2989356188735</v>
      </c>
      <c r="T92" s="18">
        <f t="shared" si="27"/>
      </c>
      <c r="U92" s="2"/>
    </row>
    <row r="93" spans="2:21" ht="15">
      <c r="B93" s="29"/>
      <c r="C93" s="39">
        <f t="shared" si="18"/>
        <v>2</v>
      </c>
      <c r="D93" s="143">
        <f t="shared" si="25"/>
        <v>7</v>
      </c>
      <c r="E93" s="160">
        <f t="shared" si="28"/>
        <v>672.7969070546038</v>
      </c>
      <c r="F93" s="55">
        <f t="shared" si="16"/>
        <v>775.2989356188735</v>
      </c>
      <c r="G93" s="37">
        <f aca="true" t="shared" si="30" ref="G93:G156">IF($F$8*12&lt;R93,0,MIN(G81,K92))</f>
        <v>3500</v>
      </c>
      <c r="H93" s="38">
        <f t="shared" si="15"/>
        <v>3400</v>
      </c>
      <c r="I93" s="141">
        <f t="shared" si="17"/>
        <v>30</v>
      </c>
      <c r="J93" s="66">
        <f t="shared" si="29"/>
        <v>71195.22414585309</v>
      </c>
      <c r="K93" s="45">
        <f aca="true" t="shared" si="31" ref="K93:K156">IF(F$8*12&lt;R93,0,MAX((K92-G93)*(1+D93/1200)-F93+H93*(1-D93*(I93-30)/36000),0))</f>
        <v>71195.22414585309</v>
      </c>
      <c r="L93" s="74">
        <f aca="true" t="shared" si="32" ref="L93:L156">IF(F$8*12&lt;R93,0,L92*(1+D93/1200)-P93)</f>
        <v>82298.84761357149</v>
      </c>
      <c r="M93" s="152" t="str">
        <f t="shared" si="20"/>
        <v>Reserve £11,104</v>
      </c>
      <c r="N93" s="50"/>
      <c r="O93" s="2"/>
      <c r="P93" s="17">
        <f t="shared" si="26"/>
        <v>775.2989356188726</v>
      </c>
      <c r="Q93" s="11"/>
      <c r="R93" s="18">
        <f t="shared" si="19"/>
        <v>74</v>
      </c>
      <c r="S93" s="88">
        <f aca="true" t="shared" si="33" ref="S93:S156">IF(R93&gt;$F$8*12,0,IF(K93&gt;0,F93,(MAX(K92-G93,0))*(1+D93/1200)))</f>
        <v>775.2989356188735</v>
      </c>
      <c r="T93" s="18">
        <f t="shared" si="27"/>
      </c>
      <c r="U93" s="2"/>
    </row>
    <row r="94" spans="2:21" ht="15">
      <c r="B94" s="29"/>
      <c r="C94" s="39">
        <f t="shared" si="18"/>
        <v>3</v>
      </c>
      <c r="D94" s="143">
        <f t="shared" si="25"/>
        <v>7</v>
      </c>
      <c r="E94" s="160">
        <f t="shared" si="28"/>
        <v>670.6968943308096</v>
      </c>
      <c r="F94" s="55">
        <f t="shared" si="16"/>
        <v>775.2989356188735</v>
      </c>
      <c r="G94" s="37">
        <f t="shared" si="30"/>
        <v>3500</v>
      </c>
      <c r="H94" s="38">
        <f t="shared" si="15"/>
        <v>3400</v>
      </c>
      <c r="I94" s="141">
        <f t="shared" si="17"/>
        <v>30</v>
      </c>
      <c r="J94" s="66">
        <f t="shared" si="29"/>
        <v>70714.81401775169</v>
      </c>
      <c r="K94" s="45">
        <f t="shared" si="31"/>
        <v>70714.81401775169</v>
      </c>
      <c r="L94" s="74">
        <f t="shared" si="32"/>
        <v>82003.62528903178</v>
      </c>
      <c r="M94" s="152" t="str">
        <f t="shared" si="20"/>
        <v>Reserve £11,289</v>
      </c>
      <c r="N94" s="50"/>
      <c r="O94" s="2"/>
      <c r="P94" s="17">
        <f t="shared" si="26"/>
        <v>775.2989356188726</v>
      </c>
      <c r="Q94" s="11"/>
      <c r="R94" s="18">
        <f t="shared" si="19"/>
        <v>75</v>
      </c>
      <c r="S94" s="88">
        <f t="shared" si="33"/>
        <v>775.2989356188735</v>
      </c>
      <c r="T94" s="18">
        <f t="shared" si="27"/>
      </c>
      <c r="U94" s="2"/>
    </row>
    <row r="95" spans="2:21" ht="15">
      <c r="B95" s="29"/>
      <c r="C95" s="39">
        <f t="shared" si="18"/>
        <v>4</v>
      </c>
      <c r="D95" s="143">
        <f t="shared" si="25"/>
        <v>7</v>
      </c>
      <c r="E95" s="160">
        <f t="shared" si="28"/>
        <v>668.5694668645635</v>
      </c>
      <c r="F95" s="55">
        <f t="shared" si="16"/>
        <v>775.2989356188735</v>
      </c>
      <c r="G95" s="37">
        <f t="shared" si="30"/>
        <v>3500</v>
      </c>
      <c r="H95" s="38">
        <f t="shared" si="15"/>
        <v>3400</v>
      </c>
      <c r="I95" s="141">
        <f t="shared" si="17"/>
        <v>30</v>
      </c>
      <c r="J95" s="66">
        <f t="shared" si="29"/>
        <v>70231.60149723636</v>
      </c>
      <c r="K95" s="45">
        <f t="shared" si="31"/>
        <v>70231.60149723636</v>
      </c>
      <c r="L95" s="74">
        <f t="shared" si="32"/>
        <v>81706.6808342656</v>
      </c>
      <c r="M95" s="152" t="str">
        <f t="shared" si="20"/>
        <v>Reserve £11,475</v>
      </c>
      <c r="N95" s="50"/>
      <c r="O95" s="2"/>
      <c r="P95" s="17">
        <f t="shared" si="26"/>
        <v>775.2989356188727</v>
      </c>
      <c r="Q95" s="11"/>
      <c r="R95" s="18">
        <f t="shared" si="19"/>
        <v>76</v>
      </c>
      <c r="S95" s="88">
        <f t="shared" si="33"/>
        <v>775.2989356188735</v>
      </c>
      <c r="T95" s="18">
        <f t="shared" si="27"/>
      </c>
      <c r="U95" s="2"/>
    </row>
    <row r="96" spans="2:21" ht="15">
      <c r="B96" s="29"/>
      <c r="C96" s="39">
        <f t="shared" si="18"/>
        <v>5</v>
      </c>
      <c r="D96" s="143">
        <f aca="true" t="shared" si="34" ref="D96:D159">D95</f>
        <v>7</v>
      </c>
      <c r="E96" s="160">
        <f t="shared" si="28"/>
        <v>666.4141209953679</v>
      </c>
      <c r="F96" s="55">
        <f t="shared" si="16"/>
        <v>775.2989356188735</v>
      </c>
      <c r="G96" s="37">
        <f t="shared" si="30"/>
        <v>3500</v>
      </c>
      <c r="H96" s="38">
        <f aca="true" t="shared" si="35" ref="H96:H159">IF($F$8*12&lt;R96,0,IF(G96=K95,0,H84))</f>
        <v>3400</v>
      </c>
      <c r="I96" s="141">
        <f t="shared" si="17"/>
        <v>30</v>
      </c>
      <c r="J96" s="66">
        <f t="shared" si="29"/>
        <v>69745.57023701804</v>
      </c>
      <c r="K96" s="45">
        <f t="shared" si="31"/>
        <v>69745.57023701804</v>
      </c>
      <c r="L96" s="74">
        <f t="shared" si="32"/>
        <v>81408.00420351328</v>
      </c>
      <c r="M96" s="152" t="str">
        <f t="shared" si="20"/>
        <v>Reserve £11,662</v>
      </c>
      <c r="N96" s="50"/>
      <c r="O96" s="2"/>
      <c r="P96" s="17">
        <f t="shared" si="26"/>
        <v>775.2989356188727</v>
      </c>
      <c r="Q96" s="11"/>
      <c r="R96" s="18">
        <f t="shared" si="19"/>
        <v>77</v>
      </c>
      <c r="S96" s="88">
        <f t="shared" si="33"/>
        <v>775.2989356188735</v>
      </c>
      <c r="T96" s="18">
        <f t="shared" si="27"/>
      </c>
      <c r="U96" s="2"/>
    </row>
    <row r="97" spans="2:21" ht="15">
      <c r="B97" s="29"/>
      <c r="C97" s="39">
        <f aca="true" t="shared" si="36" ref="C97:C160">C85</f>
        <v>6</v>
      </c>
      <c r="D97" s="143">
        <f t="shared" si="34"/>
        <v>7</v>
      </c>
      <c r="E97" s="160">
        <f t="shared" si="28"/>
        <v>664.2303407133248</v>
      </c>
      <c r="F97" s="55">
        <f aca="true" t="shared" si="37" ref="F97:F160">F96</f>
        <v>775.2989356188735</v>
      </c>
      <c r="G97" s="37">
        <f t="shared" si="30"/>
        <v>3500</v>
      </c>
      <c r="H97" s="38">
        <f t="shared" si="35"/>
        <v>3400</v>
      </c>
      <c r="I97" s="141">
        <f t="shared" si="17"/>
        <v>30</v>
      </c>
      <c r="J97" s="66">
        <f t="shared" si="29"/>
        <v>69256.70379444843</v>
      </c>
      <c r="K97" s="45">
        <f t="shared" si="31"/>
        <v>69256.70379444843</v>
      </c>
      <c r="L97" s="74">
        <f t="shared" si="32"/>
        <v>81107.5852924149</v>
      </c>
      <c r="M97" s="152" t="str">
        <f t="shared" si="20"/>
        <v>Reserve £11,851</v>
      </c>
      <c r="N97" s="50"/>
      <c r="O97" s="2"/>
      <c r="P97" s="17">
        <f t="shared" si="26"/>
        <v>775.2989356188726</v>
      </c>
      <c r="Q97" s="11"/>
      <c r="R97" s="18">
        <f t="shared" si="19"/>
        <v>78</v>
      </c>
      <c r="S97" s="88">
        <f t="shared" si="33"/>
        <v>775.2989356188735</v>
      </c>
      <c r="T97" s="18">
        <f t="shared" si="27"/>
      </c>
      <c r="U97" s="2"/>
    </row>
    <row r="98" spans="2:21" ht="15">
      <c r="B98" s="29"/>
      <c r="C98" s="39">
        <f t="shared" si="36"/>
        <v>7</v>
      </c>
      <c r="D98" s="143">
        <f t="shared" si="34"/>
        <v>7</v>
      </c>
      <c r="E98" s="160">
        <f t="shared" si="28"/>
        <v>662.0175972780302</v>
      </c>
      <c r="F98" s="55">
        <f t="shared" si="37"/>
        <v>775.2989356188735</v>
      </c>
      <c r="G98" s="37">
        <f t="shared" si="30"/>
        <v>3500</v>
      </c>
      <c r="H98" s="38">
        <f t="shared" si="35"/>
        <v>3400</v>
      </c>
      <c r="I98" s="141">
        <f aca="true" t="shared" si="38" ref="I98:I161">I86</f>
        <v>30</v>
      </c>
      <c r="J98" s="66">
        <f t="shared" si="29"/>
        <v>68764.98563096384</v>
      </c>
      <c r="K98" s="45">
        <f t="shared" si="31"/>
        <v>68764.98563096384</v>
      </c>
      <c r="L98" s="74">
        <f t="shared" si="32"/>
        <v>80805.41393766843</v>
      </c>
      <c r="M98" s="152" t="str">
        <f t="shared" si="20"/>
        <v>Reserve £12,040</v>
      </c>
      <c r="N98" s="50"/>
      <c r="O98" s="2"/>
      <c r="P98" s="17">
        <f t="shared" si="26"/>
        <v>775.2989356188726</v>
      </c>
      <c r="Q98" s="11"/>
      <c r="R98" s="18">
        <f t="shared" si="19"/>
        <v>79</v>
      </c>
      <c r="S98" s="88">
        <f t="shared" si="33"/>
        <v>775.2989356188735</v>
      </c>
      <c r="T98" s="18">
        <f t="shared" si="27"/>
      </c>
      <c r="U98" s="2"/>
    </row>
    <row r="99" spans="2:21" ht="15">
      <c r="B99" s="29"/>
      <c r="C99" s="39">
        <f t="shared" si="36"/>
        <v>8</v>
      </c>
      <c r="D99" s="143">
        <f t="shared" si="34"/>
        <v>7</v>
      </c>
      <c r="E99" s="160">
        <f t="shared" si="28"/>
        <v>659.7753488232629</v>
      </c>
      <c r="F99" s="55">
        <f t="shared" si="37"/>
        <v>775.2989356188735</v>
      </c>
      <c r="G99" s="37">
        <f t="shared" si="30"/>
        <v>3500</v>
      </c>
      <c r="H99" s="38">
        <f t="shared" si="35"/>
        <v>3400</v>
      </c>
      <c r="I99" s="141">
        <f t="shared" si="38"/>
        <v>30</v>
      </c>
      <c r="J99" s="66">
        <f t="shared" si="29"/>
        <v>68270.39911152559</v>
      </c>
      <c r="K99" s="45">
        <f t="shared" si="31"/>
        <v>68270.39911152559</v>
      </c>
      <c r="L99" s="74">
        <f t="shared" si="32"/>
        <v>80501.47991668596</v>
      </c>
      <c r="M99" s="152" t="str">
        <f t="shared" si="20"/>
        <v>Reserve £12,231</v>
      </c>
      <c r="N99" s="50"/>
      <c r="O99" s="2"/>
      <c r="P99" s="17">
        <f t="shared" si="26"/>
        <v>775.2989356188727</v>
      </c>
      <c r="Q99" s="11"/>
      <c r="R99" s="18">
        <f t="shared" si="19"/>
        <v>80</v>
      </c>
      <c r="S99" s="88">
        <f t="shared" si="33"/>
        <v>775.2989356188735</v>
      </c>
      <c r="T99" s="18">
        <f t="shared" si="27"/>
      </c>
      <c r="U99" s="2"/>
    </row>
    <row r="100" spans="2:21" ht="15">
      <c r="B100" s="29"/>
      <c r="C100" s="39">
        <f t="shared" si="36"/>
        <v>9</v>
      </c>
      <c r="D100" s="143">
        <f t="shared" si="34"/>
        <v>7</v>
      </c>
      <c r="E100" s="160">
        <f t="shared" si="28"/>
        <v>657.5030399468513</v>
      </c>
      <c r="F100" s="55">
        <f t="shared" si="37"/>
        <v>775.2989356188735</v>
      </c>
      <c r="G100" s="37">
        <f t="shared" si="30"/>
        <v>3500</v>
      </c>
      <c r="H100" s="38">
        <f t="shared" si="35"/>
        <v>3400</v>
      </c>
      <c r="I100" s="141">
        <f t="shared" si="38"/>
        <v>30</v>
      </c>
      <c r="J100" s="66">
        <f t="shared" si="29"/>
        <v>67772.9275040573</v>
      </c>
      <c r="K100" s="45">
        <f t="shared" si="31"/>
        <v>67772.9275040573</v>
      </c>
      <c r="L100" s="74">
        <f t="shared" si="32"/>
        <v>80195.77294724775</v>
      </c>
      <c r="M100" s="152" t="str">
        <f t="shared" si="20"/>
        <v>Reserve £12,423</v>
      </c>
      <c r="N100" s="50"/>
      <c r="O100" s="2"/>
      <c r="P100" s="17">
        <f t="shared" si="26"/>
        <v>775.2989356188726</v>
      </c>
      <c r="Q100" s="11"/>
      <c r="R100" s="18">
        <f t="shared" si="19"/>
        <v>81</v>
      </c>
      <c r="S100" s="88">
        <f t="shared" si="33"/>
        <v>775.2989356188735</v>
      </c>
      <c r="T100" s="18">
        <f t="shared" si="27"/>
      </c>
      <c r="U100" s="2"/>
    </row>
    <row r="101" spans="2:21" ht="15">
      <c r="B101" s="29"/>
      <c r="C101" s="39">
        <f t="shared" si="36"/>
        <v>10</v>
      </c>
      <c r="D101" s="143">
        <f t="shared" si="34"/>
        <v>7</v>
      </c>
      <c r="E101" s="160">
        <f t="shared" si="28"/>
        <v>655.200101285063</v>
      </c>
      <c r="F101" s="55">
        <f t="shared" si="37"/>
        <v>775.2989356188735</v>
      </c>
      <c r="G101" s="37">
        <f t="shared" si="30"/>
        <v>3500</v>
      </c>
      <c r="H101" s="38">
        <f t="shared" si="35"/>
        <v>3400</v>
      </c>
      <c r="I101" s="141">
        <f t="shared" si="38"/>
        <v>30</v>
      </c>
      <c r="J101" s="66">
        <f t="shared" si="29"/>
        <v>67272.55397887877</v>
      </c>
      <c r="K101" s="45">
        <f t="shared" si="31"/>
        <v>67272.55397887877</v>
      </c>
      <c r="L101" s="74">
        <f t="shared" si="32"/>
        <v>79888.28268715448</v>
      </c>
      <c r="M101" s="152" t="str">
        <f t="shared" si="20"/>
        <v>Reserve £12,616</v>
      </c>
      <c r="N101" s="50"/>
      <c r="O101" s="2"/>
      <c r="P101" s="17">
        <f t="shared" si="26"/>
        <v>775.2989356188726</v>
      </c>
      <c r="Q101" s="11"/>
      <c r="R101" s="18">
        <f t="shared" si="19"/>
        <v>82</v>
      </c>
      <c r="S101" s="88">
        <f t="shared" si="33"/>
        <v>775.2989356188735</v>
      </c>
      <c r="T101" s="18">
        <f t="shared" si="27"/>
      </c>
      <c r="U101" s="2"/>
    </row>
    <row r="102" spans="2:21" ht="15">
      <c r="B102" s="29"/>
      <c r="C102" s="39">
        <f t="shared" si="36"/>
        <v>11</v>
      </c>
      <c r="D102" s="143">
        <f t="shared" si="34"/>
        <v>7</v>
      </c>
      <c r="E102" s="160">
        <f t="shared" si="28"/>
        <v>652.8659490708297</v>
      </c>
      <c r="F102" s="55">
        <f t="shared" si="37"/>
        <v>775.2989356188735</v>
      </c>
      <c r="G102" s="37">
        <f t="shared" si="30"/>
        <v>3500</v>
      </c>
      <c r="H102" s="38">
        <f t="shared" si="35"/>
        <v>3400</v>
      </c>
      <c r="I102" s="141">
        <f t="shared" si="38"/>
        <v>30</v>
      </c>
      <c r="J102" s="66">
        <f t="shared" si="29"/>
        <v>66769.2616081367</v>
      </c>
      <c r="K102" s="45">
        <f t="shared" si="31"/>
        <v>66769.2616081367</v>
      </c>
      <c r="L102" s="74">
        <f t="shared" si="32"/>
        <v>79578.99873387734</v>
      </c>
      <c r="M102" s="152" t="str">
        <f t="shared" si="20"/>
        <v>Reserve £12,810</v>
      </c>
      <c r="N102" s="50"/>
      <c r="O102" s="2"/>
      <c r="P102" s="17">
        <f t="shared" si="26"/>
        <v>775.2989356188724</v>
      </c>
      <c r="Q102" s="11"/>
      <c r="R102" s="18">
        <f t="shared" si="19"/>
        <v>83</v>
      </c>
      <c r="S102" s="88">
        <f t="shared" si="33"/>
        <v>775.2989356188735</v>
      </c>
      <c r="T102" s="18">
        <f t="shared" si="27"/>
      </c>
      <c r="U102" s="2"/>
    </row>
    <row r="103" spans="2:21" ht="15">
      <c r="B103" s="77">
        <f>B92</f>
        <v>7</v>
      </c>
      <c r="C103" s="40">
        <f t="shared" si="36"/>
        <v>12</v>
      </c>
      <c r="D103" s="155">
        <f t="shared" si="34"/>
        <v>7</v>
      </c>
      <c r="E103" s="160">
        <f t="shared" si="28"/>
        <v>650.4999846750926</v>
      </c>
      <c r="F103" s="124">
        <f t="shared" si="37"/>
        <v>775.2989356188735</v>
      </c>
      <c r="G103" s="135">
        <f t="shared" si="30"/>
        <v>3500</v>
      </c>
      <c r="H103" s="134">
        <f t="shared" si="35"/>
        <v>3400</v>
      </c>
      <c r="I103" s="141">
        <f t="shared" si="38"/>
        <v>30</v>
      </c>
      <c r="J103" s="66">
        <f t="shared" si="29"/>
        <v>66263.03336523197</v>
      </c>
      <c r="K103" s="46">
        <f t="shared" si="31"/>
        <v>66263.03336523197</v>
      </c>
      <c r="L103" s="75">
        <f t="shared" si="32"/>
        <v>79267.91062420608</v>
      </c>
      <c r="M103" s="153" t="str">
        <f t="shared" si="20"/>
        <v>Reserve £13,005</v>
      </c>
      <c r="N103" s="51"/>
      <c r="O103" s="2"/>
      <c r="P103" s="19">
        <f t="shared" si="26"/>
        <v>775.2989356188724</v>
      </c>
      <c r="Q103" s="13"/>
      <c r="R103" s="20">
        <f t="shared" si="19"/>
        <v>84</v>
      </c>
      <c r="S103" s="89">
        <f t="shared" si="33"/>
        <v>775.2989356188735</v>
      </c>
      <c r="T103" s="133">
        <f t="shared" si="27"/>
      </c>
      <c r="U103" s="2"/>
    </row>
    <row r="104" spans="2:21" ht="15">
      <c r="B104" s="28">
        <f>B103+1</f>
        <v>8</v>
      </c>
      <c r="C104" s="147">
        <f t="shared" si="36"/>
        <v>1</v>
      </c>
      <c r="D104" s="142">
        <f>D103</f>
        <v>7</v>
      </c>
      <c r="E104" s="159">
        <f t="shared" si="28"/>
        <v>648.1015941305028</v>
      </c>
      <c r="F104" s="56">
        <f>F103*(1+$F$10/100)</f>
        <v>775.2989356188735</v>
      </c>
      <c r="G104" s="37">
        <f t="shared" si="30"/>
        <v>3500</v>
      </c>
      <c r="H104" s="35">
        <f t="shared" si="35"/>
        <v>3400</v>
      </c>
      <c r="I104" s="140">
        <f t="shared" si="38"/>
        <v>30</v>
      </c>
      <c r="J104" s="65">
        <f t="shared" si="29"/>
        <v>65753.85212424363</v>
      </c>
      <c r="K104" s="44">
        <f t="shared" si="31"/>
        <v>65753.85212424363</v>
      </c>
      <c r="L104" s="73">
        <f t="shared" si="32"/>
        <v>78955.00783389507</v>
      </c>
      <c r="M104" s="151" t="str">
        <f t="shared" si="20"/>
        <v>Reserve £13,201</v>
      </c>
      <c r="N104" s="49"/>
      <c r="O104" s="3"/>
      <c r="P104" s="17">
        <f t="shared" si="26"/>
        <v>775.2989356188725</v>
      </c>
      <c r="Q104" s="11"/>
      <c r="R104" s="18">
        <f t="shared" si="19"/>
        <v>85</v>
      </c>
      <c r="S104" s="87">
        <f t="shared" si="33"/>
        <v>775.2989356188735</v>
      </c>
      <c r="T104" s="18">
        <f t="shared" si="27"/>
      </c>
      <c r="U104" s="2"/>
    </row>
    <row r="105" spans="2:21" ht="15">
      <c r="B105" s="29"/>
      <c r="C105" s="39">
        <f t="shared" si="36"/>
        <v>2</v>
      </c>
      <c r="D105" s="143">
        <f>D104</f>
        <v>7</v>
      </c>
      <c r="E105" s="160">
        <f t="shared" si="28"/>
        <v>645.670147636687</v>
      </c>
      <c r="F105" s="55">
        <f t="shared" si="37"/>
        <v>775.2989356188735</v>
      </c>
      <c r="G105" s="37">
        <f t="shared" si="30"/>
        <v>3500</v>
      </c>
      <c r="H105" s="38">
        <f t="shared" si="35"/>
        <v>3400</v>
      </c>
      <c r="I105" s="141">
        <f t="shared" si="38"/>
        <v>30</v>
      </c>
      <c r="J105" s="66">
        <f t="shared" si="29"/>
        <v>65241.70065934951</v>
      </c>
      <c r="K105" s="45">
        <f t="shared" si="31"/>
        <v>65241.70065934951</v>
      </c>
      <c r="L105" s="74">
        <f t="shared" si="32"/>
        <v>78640.27977730725</v>
      </c>
      <c r="M105" s="152" t="str">
        <f t="shared" si="20"/>
        <v>Reserve £13,399</v>
      </c>
      <c r="N105" s="50"/>
      <c r="O105" s="2"/>
      <c r="P105" s="17">
        <f t="shared" si="26"/>
        <v>775.2989356188724</v>
      </c>
      <c r="Q105" s="11"/>
      <c r="R105" s="18">
        <f t="shared" si="19"/>
        <v>86</v>
      </c>
      <c r="S105" s="88">
        <f t="shared" si="33"/>
        <v>775.2989356188735</v>
      </c>
      <c r="T105" s="18">
        <f t="shared" si="27"/>
      </c>
      <c r="U105" s="2"/>
    </row>
    <row r="106" spans="2:21" ht="15">
      <c r="B106" s="29"/>
      <c r="C106" s="39">
        <f t="shared" si="36"/>
        <v>3</v>
      </c>
      <c r="D106" s="143">
        <f>D105</f>
        <v>7</v>
      </c>
      <c r="E106" s="160">
        <f t="shared" si="28"/>
        <v>643.2049990462375</v>
      </c>
      <c r="F106" s="55">
        <f t="shared" si="37"/>
        <v>775.2989356188735</v>
      </c>
      <c r="G106" s="37">
        <f t="shared" si="30"/>
        <v>3500</v>
      </c>
      <c r="H106" s="38">
        <f t="shared" si="35"/>
        <v>3400</v>
      </c>
      <c r="I106" s="141">
        <f t="shared" si="38"/>
        <v>30</v>
      </c>
      <c r="J106" s="66">
        <f t="shared" si="29"/>
        <v>64726.56164424351</v>
      </c>
      <c r="K106" s="45">
        <f t="shared" si="31"/>
        <v>64726.56164424351</v>
      </c>
      <c r="L106" s="74">
        <f t="shared" si="32"/>
        <v>78323.715807056</v>
      </c>
      <c r="M106" s="152" t="str">
        <f t="shared" si="20"/>
        <v>Reserve £13,597</v>
      </c>
      <c r="N106" s="50"/>
      <c r="O106" s="2"/>
      <c r="P106" s="17">
        <f t="shared" si="26"/>
        <v>775.2989356188724</v>
      </c>
      <c r="Q106" s="11"/>
      <c r="R106" s="18">
        <f t="shared" si="19"/>
        <v>87</v>
      </c>
      <c r="S106" s="88">
        <f t="shared" si="33"/>
        <v>775.2989356188735</v>
      </c>
      <c r="T106" s="18">
        <f t="shared" si="27"/>
      </c>
      <c r="U106" s="2"/>
    </row>
    <row r="107" spans="2:21" ht="15">
      <c r="B107" s="29"/>
      <c r="C107" s="39">
        <f t="shared" si="36"/>
        <v>4</v>
      </c>
      <c r="D107" s="143">
        <f>D106</f>
        <v>7</v>
      </c>
      <c r="E107" s="160">
        <f t="shared" si="28"/>
        <v>640.7054853305427</v>
      </c>
      <c r="F107" s="55">
        <f t="shared" si="37"/>
        <v>775.2989356188735</v>
      </c>
      <c r="G107" s="37">
        <f t="shared" si="30"/>
        <v>3500</v>
      </c>
      <c r="H107" s="38">
        <f t="shared" si="35"/>
        <v>3400</v>
      </c>
      <c r="I107" s="141">
        <f t="shared" si="38"/>
        <v>30</v>
      </c>
      <c r="J107" s="66">
        <f t="shared" si="29"/>
        <v>64208.4176515494</v>
      </c>
      <c r="K107" s="45">
        <f t="shared" si="31"/>
        <v>64208.4176515494</v>
      </c>
      <c r="L107" s="74">
        <f t="shared" si="32"/>
        <v>78005.30521364494</v>
      </c>
      <c r="M107" s="152" t="str">
        <f t="shared" si="20"/>
        <v>Reserve £13,797</v>
      </c>
      <c r="N107" s="50"/>
      <c r="O107" s="2"/>
      <c r="P107" s="17">
        <f t="shared" si="26"/>
        <v>775.2989356188722</v>
      </c>
      <c r="Q107" s="11"/>
      <c r="R107" s="18">
        <f t="shared" si="19"/>
        <v>88</v>
      </c>
      <c r="S107" s="88">
        <f t="shared" si="33"/>
        <v>775.2989356188735</v>
      </c>
      <c r="T107" s="18">
        <f t="shared" si="27"/>
      </c>
      <c r="U107" s="2"/>
    </row>
    <row r="108" spans="2:21" ht="15">
      <c r="B108" s="29"/>
      <c r="C108" s="39">
        <f t="shared" si="36"/>
        <v>5</v>
      </c>
      <c r="D108" s="143">
        <f t="shared" si="34"/>
        <v>7</v>
      </c>
      <c r="E108" s="160">
        <f t="shared" si="28"/>
        <v>638.1709260245347</v>
      </c>
      <c r="F108" s="55">
        <f t="shared" si="37"/>
        <v>775.2989356188735</v>
      </c>
      <c r="G108" s="37">
        <f t="shared" si="30"/>
        <v>3500</v>
      </c>
      <c r="H108" s="38">
        <f t="shared" si="35"/>
        <v>3400</v>
      </c>
      <c r="I108" s="141">
        <f t="shared" si="38"/>
        <v>30</v>
      </c>
      <c r="J108" s="66">
        <f t="shared" si="29"/>
        <v>63687.251152231234</v>
      </c>
      <c r="K108" s="45">
        <f t="shared" si="31"/>
        <v>63687.251152231234</v>
      </c>
      <c r="L108" s="74">
        <f t="shared" si="32"/>
        <v>77685.03722510565</v>
      </c>
      <c r="M108" s="152" t="str">
        <f t="shared" si="20"/>
        <v>Reserve £13,998</v>
      </c>
      <c r="N108" s="50"/>
      <c r="O108" s="2"/>
      <c r="P108" s="17">
        <f t="shared" si="26"/>
        <v>775.2989356188723</v>
      </c>
      <c r="Q108" s="11"/>
      <c r="R108" s="18">
        <f aca="true" t="shared" si="39" ref="R108:R171">R107+1</f>
        <v>89</v>
      </c>
      <c r="S108" s="88">
        <f t="shared" si="33"/>
        <v>775.2989356188735</v>
      </c>
      <c r="T108" s="18">
        <f t="shared" si="27"/>
      </c>
      <c r="U108" s="2"/>
    </row>
    <row r="109" spans="2:21" ht="15">
      <c r="B109" s="29"/>
      <c r="C109" s="39">
        <f t="shared" si="36"/>
        <v>6</v>
      </c>
      <c r="D109" s="143">
        <f t="shared" si="34"/>
        <v>7</v>
      </c>
      <c r="E109" s="160">
        <f t="shared" si="28"/>
        <v>635.6006226493704</v>
      </c>
      <c r="F109" s="55">
        <f t="shared" si="37"/>
        <v>775.2989356188735</v>
      </c>
      <c r="G109" s="37">
        <f t="shared" si="30"/>
        <v>3500</v>
      </c>
      <c r="H109" s="38">
        <f t="shared" si="35"/>
        <v>3400</v>
      </c>
      <c r="I109" s="141">
        <f t="shared" si="38"/>
        <v>30</v>
      </c>
      <c r="J109" s="66">
        <f t="shared" si="29"/>
        <v>63163.04451500038</v>
      </c>
      <c r="K109" s="45">
        <f t="shared" si="31"/>
        <v>63163.04451500038</v>
      </c>
      <c r="L109" s="74">
        <f t="shared" si="32"/>
        <v>77362.90100663323</v>
      </c>
      <c r="M109" s="152" t="str">
        <f t="shared" si="20"/>
        <v>Reserve £14,200</v>
      </c>
      <c r="N109" s="50"/>
      <c r="O109" s="2"/>
      <c r="P109" s="17">
        <f t="shared" si="26"/>
        <v>775.2989356188721</v>
      </c>
      <c r="Q109" s="11"/>
      <c r="R109" s="18">
        <f t="shared" si="39"/>
        <v>90</v>
      </c>
      <c r="S109" s="88">
        <f t="shared" si="33"/>
        <v>775.2989356188735</v>
      </c>
      <c r="T109" s="18">
        <f t="shared" si="27"/>
      </c>
      <c r="U109" s="2"/>
    </row>
    <row r="110" spans="2:21" ht="15">
      <c r="B110" s="29"/>
      <c r="C110" s="39">
        <f t="shared" si="36"/>
        <v>7</v>
      </c>
      <c r="D110" s="143">
        <f t="shared" si="34"/>
        <v>7</v>
      </c>
      <c r="E110" s="160">
        <f t="shared" si="28"/>
        <v>632.9938581120224</v>
      </c>
      <c r="F110" s="55">
        <f t="shared" si="37"/>
        <v>775.2989356188735</v>
      </c>
      <c r="G110" s="37">
        <f t="shared" si="30"/>
        <v>3500</v>
      </c>
      <c r="H110" s="38">
        <f t="shared" si="35"/>
        <v>3400</v>
      </c>
      <c r="I110" s="141">
        <f t="shared" si="38"/>
        <v>30</v>
      </c>
      <c r="J110" s="66">
        <f t="shared" si="29"/>
        <v>62635.78000571901</v>
      </c>
      <c r="K110" s="45">
        <f t="shared" si="31"/>
        <v>62635.78000571901</v>
      </c>
      <c r="L110" s="74">
        <f t="shared" si="32"/>
        <v>77038.8856602197</v>
      </c>
      <c r="M110" s="152" t="str">
        <f t="shared" si="20"/>
        <v>Reserve £14,403</v>
      </c>
      <c r="N110" s="50"/>
      <c r="O110" s="2"/>
      <c r="P110" s="17">
        <f t="shared" si="26"/>
        <v>775.298935618872</v>
      </c>
      <c r="Q110" s="11"/>
      <c r="R110" s="18">
        <f t="shared" si="39"/>
        <v>91</v>
      </c>
      <c r="S110" s="88">
        <f t="shared" si="33"/>
        <v>775.2989356188735</v>
      </c>
      <c r="T110" s="18">
        <f t="shared" si="27"/>
      </c>
      <c r="U110" s="2"/>
    </row>
    <row r="111" spans="2:21" ht="15">
      <c r="B111" s="29"/>
      <c r="C111" s="39">
        <f t="shared" si="36"/>
        <v>8</v>
      </c>
      <c r="D111" s="143">
        <f t="shared" si="34"/>
        <v>7</v>
      </c>
      <c r="E111" s="160">
        <f t="shared" si="28"/>
        <v>630.3498960806916</v>
      </c>
      <c r="F111" s="55">
        <f t="shared" si="37"/>
        <v>775.2989356188735</v>
      </c>
      <c r="G111" s="37">
        <f t="shared" si="30"/>
        <v>3500</v>
      </c>
      <c r="H111" s="38">
        <f t="shared" si="35"/>
        <v>3400</v>
      </c>
      <c r="I111" s="141">
        <f t="shared" si="38"/>
        <v>30</v>
      </c>
      <c r="J111" s="66">
        <f t="shared" si="29"/>
        <v>62105.43978680017</v>
      </c>
      <c r="K111" s="45">
        <f t="shared" si="31"/>
        <v>62105.43978680017</v>
      </c>
      <c r="L111" s="74">
        <f t="shared" si="32"/>
        <v>76712.98022428545</v>
      </c>
      <c r="M111" s="152" t="str">
        <f t="shared" si="20"/>
        <v>Reserve £14,608</v>
      </c>
      <c r="N111" s="50"/>
      <c r="O111" s="2"/>
      <c r="P111" s="17">
        <f t="shared" si="26"/>
        <v>775.2989356188718</v>
      </c>
      <c r="Q111" s="11"/>
      <c r="R111" s="18">
        <f t="shared" si="39"/>
        <v>92</v>
      </c>
      <c r="S111" s="88">
        <f t="shared" si="33"/>
        <v>775.2989356188735</v>
      </c>
      <c r="T111" s="18">
        <f t="shared" si="27"/>
      </c>
      <c r="U111" s="2"/>
    </row>
    <row r="112" spans="2:21" ht="15">
      <c r="B112" s="29"/>
      <c r="C112" s="39">
        <f t="shared" si="36"/>
        <v>9</v>
      </c>
      <c r="D112" s="143">
        <f t="shared" si="34"/>
        <v>7</v>
      </c>
      <c r="E112" s="160">
        <f t="shared" si="28"/>
        <v>627.6679803348967</v>
      </c>
      <c r="F112" s="55">
        <f t="shared" si="37"/>
        <v>775.2989356188735</v>
      </c>
      <c r="G112" s="37">
        <f t="shared" si="30"/>
        <v>3500</v>
      </c>
      <c r="H112" s="38">
        <f t="shared" si="35"/>
        <v>3400</v>
      </c>
      <c r="I112" s="141">
        <f t="shared" si="38"/>
        <v>30</v>
      </c>
      <c r="J112" s="66">
        <f t="shared" si="29"/>
        <v>61572.0059166043</v>
      </c>
      <c r="K112" s="45">
        <f t="shared" si="31"/>
        <v>61572.0059166043</v>
      </c>
      <c r="L112" s="74">
        <f t="shared" si="32"/>
        <v>76385.17367330824</v>
      </c>
      <c r="M112" s="152" t="str">
        <f t="shared" si="20"/>
        <v>Reserve £14,813</v>
      </c>
      <c r="N112" s="50"/>
      <c r="O112" s="2"/>
      <c r="P112" s="17">
        <f t="shared" si="26"/>
        <v>775.2989356188721</v>
      </c>
      <c r="Q112" s="11"/>
      <c r="R112" s="18">
        <f t="shared" si="39"/>
        <v>93</v>
      </c>
      <c r="S112" s="88">
        <f t="shared" si="33"/>
        <v>775.2989356188735</v>
      </c>
      <c r="T112" s="18">
        <f t="shared" si="27"/>
      </c>
      <c r="U112" s="2"/>
    </row>
    <row r="113" spans="2:21" ht="15">
      <c r="B113" s="29"/>
      <c r="C113" s="39">
        <f t="shared" si="36"/>
        <v>10</v>
      </c>
      <c r="D113" s="143">
        <f t="shared" si="34"/>
        <v>7</v>
      </c>
      <c r="E113" s="160">
        <f t="shared" si="28"/>
        <v>624.9473340890386</v>
      </c>
      <c r="F113" s="55">
        <f t="shared" si="37"/>
        <v>775.2989356188735</v>
      </c>
      <c r="G113" s="37">
        <f t="shared" si="30"/>
        <v>3500</v>
      </c>
      <c r="H113" s="38">
        <f t="shared" si="35"/>
        <v>3400</v>
      </c>
      <c r="I113" s="141">
        <f t="shared" si="38"/>
        <v>30</v>
      </c>
      <c r="J113" s="66">
        <f t="shared" si="29"/>
        <v>61035.46034883229</v>
      </c>
      <c r="K113" s="45">
        <f t="shared" si="31"/>
        <v>61035.46034883229</v>
      </c>
      <c r="L113" s="74">
        <f t="shared" si="32"/>
        <v>76055.45491745032</v>
      </c>
      <c r="M113" s="152" t="str">
        <f t="shared" si="20"/>
        <v>Reserve £15,020</v>
      </c>
      <c r="N113" s="50"/>
      <c r="O113" s="2"/>
      <c r="P113" s="17">
        <f t="shared" si="26"/>
        <v>775.298935618872</v>
      </c>
      <c r="Q113" s="11"/>
      <c r="R113" s="18">
        <f t="shared" si="39"/>
        <v>94</v>
      </c>
      <c r="S113" s="88">
        <f t="shared" si="33"/>
        <v>775.2989356188735</v>
      </c>
      <c r="T113" s="18">
        <f t="shared" si="27"/>
      </c>
      <c r="U113" s="2"/>
    </row>
    <row r="114" spans="2:21" ht="15">
      <c r="B114" s="29"/>
      <c r="C114" s="39">
        <f t="shared" si="36"/>
        <v>11</v>
      </c>
      <c r="D114" s="143">
        <f t="shared" si="34"/>
        <v>7</v>
      </c>
      <c r="E114" s="160">
        <f t="shared" si="28"/>
        <v>622.1871592881653</v>
      </c>
      <c r="F114" s="55">
        <f t="shared" si="37"/>
        <v>775.2989356188735</v>
      </c>
      <c r="G114" s="37">
        <f t="shared" si="30"/>
        <v>3500</v>
      </c>
      <c r="H114" s="38">
        <f t="shared" si="35"/>
        <v>3400</v>
      </c>
      <c r="I114" s="141">
        <f t="shared" si="38"/>
        <v>30</v>
      </c>
      <c r="J114" s="66">
        <f t="shared" si="29"/>
        <v>60495.784931914946</v>
      </c>
      <c r="K114" s="45">
        <f t="shared" si="31"/>
        <v>60495.784931914946</v>
      </c>
      <c r="L114" s="74">
        <f t="shared" si="32"/>
        <v>75723.81280218324</v>
      </c>
      <c r="M114" s="152" t="str">
        <f t="shared" si="20"/>
        <v>Reserve £15,228</v>
      </c>
      <c r="N114" s="50"/>
      <c r="O114" s="2"/>
      <c r="P114" s="17">
        <f t="shared" si="26"/>
        <v>775.2989356188718</v>
      </c>
      <c r="Q114" s="11"/>
      <c r="R114" s="18">
        <f t="shared" si="39"/>
        <v>95</v>
      </c>
      <c r="S114" s="88">
        <f t="shared" si="33"/>
        <v>775.2989356188735</v>
      </c>
      <c r="T114" s="18">
        <f t="shared" si="27"/>
      </c>
      <c r="U114" s="2"/>
    </row>
    <row r="115" spans="2:21" ht="15">
      <c r="B115" s="77">
        <f>B104</f>
        <v>8</v>
      </c>
      <c r="C115" s="40">
        <f t="shared" si="36"/>
        <v>12</v>
      </c>
      <c r="D115" s="155">
        <f t="shared" si="34"/>
        <v>7</v>
      </c>
      <c r="E115" s="160">
        <f t="shared" si="28"/>
        <v>619.3866358745947</v>
      </c>
      <c r="F115" s="124">
        <f t="shared" si="37"/>
        <v>775.2989356188735</v>
      </c>
      <c r="G115" s="135">
        <f t="shared" si="30"/>
        <v>3500</v>
      </c>
      <c r="H115" s="134">
        <f t="shared" si="35"/>
        <v>3400</v>
      </c>
      <c r="I115" s="141">
        <f t="shared" si="38"/>
        <v>30</v>
      </c>
      <c r="J115" s="66">
        <f t="shared" si="29"/>
        <v>59952.961408398915</v>
      </c>
      <c r="K115" s="46">
        <f t="shared" si="31"/>
        <v>59952.961408398915</v>
      </c>
      <c r="L115" s="75">
        <f t="shared" si="32"/>
        <v>75390.23610791043</v>
      </c>
      <c r="M115" s="153" t="str">
        <f t="shared" si="20"/>
        <v>Reserve £15,437</v>
      </c>
      <c r="N115" s="51"/>
      <c r="O115" s="2"/>
      <c r="P115" s="19">
        <f t="shared" si="26"/>
        <v>775.2989356188718</v>
      </c>
      <c r="Q115" s="13"/>
      <c r="R115" s="20">
        <f t="shared" si="39"/>
        <v>96</v>
      </c>
      <c r="S115" s="89">
        <f t="shared" si="33"/>
        <v>775.2989356188735</v>
      </c>
      <c r="T115" s="133">
        <f t="shared" si="27"/>
      </c>
      <c r="U115" s="2"/>
    </row>
    <row r="116" spans="2:21" ht="15">
      <c r="B116" s="28">
        <f>B115+1</f>
        <v>9</v>
      </c>
      <c r="C116" s="147">
        <f t="shared" si="36"/>
        <v>1</v>
      </c>
      <c r="D116" s="142">
        <f>D115</f>
        <v>7</v>
      </c>
      <c r="E116" s="159">
        <f t="shared" si="28"/>
        <v>616.5449210239818</v>
      </c>
      <c r="F116" s="56">
        <f>F115*(1+$F$10/100)</f>
        <v>775.2989356188735</v>
      </c>
      <c r="G116" s="37">
        <f t="shared" si="30"/>
        <v>3500</v>
      </c>
      <c r="H116" s="35">
        <f t="shared" si="35"/>
        <v>3400</v>
      </c>
      <c r="I116" s="140">
        <f t="shared" si="38"/>
        <v>30</v>
      </c>
      <c r="J116" s="65">
        <f t="shared" si="29"/>
        <v>59406.97141432904</v>
      </c>
      <c r="K116" s="44">
        <f t="shared" si="31"/>
        <v>59406.97141432904</v>
      </c>
      <c r="L116" s="73">
        <f t="shared" si="32"/>
        <v>75054.7135495877</v>
      </c>
      <c r="M116" s="151" t="str">
        <f t="shared" si="20"/>
        <v>Reserve £15,648</v>
      </c>
      <c r="N116" s="49"/>
      <c r="O116" s="3"/>
      <c r="P116" s="17">
        <f t="shared" si="26"/>
        <v>775.298935618872</v>
      </c>
      <c r="Q116" s="11"/>
      <c r="R116" s="18">
        <f t="shared" si="39"/>
        <v>97</v>
      </c>
      <c r="S116" s="87">
        <f t="shared" si="33"/>
        <v>775.2989356188735</v>
      </c>
      <c r="T116" s="18">
        <f t="shared" si="27"/>
      </c>
      <c r="U116" s="2"/>
    </row>
    <row r="117" spans="2:21" ht="15">
      <c r="B117" s="29"/>
      <c r="C117" s="39">
        <f t="shared" si="36"/>
        <v>2</v>
      </c>
      <c r="D117" s="143">
        <f>D116</f>
        <v>7</v>
      </c>
      <c r="E117" s="160">
        <f t="shared" si="28"/>
        <v>613.6611483493306</v>
      </c>
      <c r="F117" s="55">
        <f t="shared" si="37"/>
        <v>775.2989356188735</v>
      </c>
      <c r="G117" s="37">
        <f t="shared" si="30"/>
        <v>3500</v>
      </c>
      <c r="H117" s="38">
        <f t="shared" si="35"/>
        <v>3400</v>
      </c>
      <c r="I117" s="141">
        <f t="shared" si="38"/>
        <v>30</v>
      </c>
      <c r="J117" s="66">
        <f t="shared" si="29"/>
        <v>58857.79647862709</v>
      </c>
      <c r="K117" s="45">
        <f t="shared" si="31"/>
        <v>58857.79647862709</v>
      </c>
      <c r="L117" s="74">
        <f t="shared" si="32"/>
        <v>74717.23377634143</v>
      </c>
      <c r="M117" s="152" t="str">
        <f t="shared" si="20"/>
        <v>Reserve £15,859</v>
      </c>
      <c r="N117" s="50"/>
      <c r="O117" s="2"/>
      <c r="P117" s="17">
        <f t="shared" si="26"/>
        <v>775.2989356188718</v>
      </c>
      <c r="Q117" s="11"/>
      <c r="R117" s="18">
        <f t="shared" si="39"/>
        <v>98</v>
      </c>
      <c r="S117" s="88">
        <f t="shared" si="33"/>
        <v>775.2989356188735</v>
      </c>
      <c r="T117" s="18">
        <f t="shared" si="27"/>
      </c>
      <c r="U117" s="2"/>
    </row>
    <row r="118" spans="2:21" ht="15">
      <c r="B118" s="29"/>
      <c r="C118" s="39">
        <f t="shared" si="36"/>
        <v>3</v>
      </c>
      <c r="D118" s="143">
        <f>D117</f>
        <v>7</v>
      </c>
      <c r="E118" s="160">
        <f t="shared" si="28"/>
        <v>610.7344270713735</v>
      </c>
      <c r="F118" s="55">
        <f t="shared" si="37"/>
        <v>775.2989356188735</v>
      </c>
      <c r="G118" s="37">
        <f t="shared" si="30"/>
        <v>3500</v>
      </c>
      <c r="H118" s="38">
        <f t="shared" si="35"/>
        <v>3400</v>
      </c>
      <c r="I118" s="141">
        <f t="shared" si="38"/>
        <v>30</v>
      </c>
      <c r="J118" s="66">
        <f t="shared" si="29"/>
        <v>58305.41802246688</v>
      </c>
      <c r="K118" s="45">
        <f t="shared" si="31"/>
        <v>58305.41802246688</v>
      </c>
      <c r="L118" s="74">
        <f t="shared" si="32"/>
        <v>74377.78537108454</v>
      </c>
      <c r="M118" s="152" t="str">
        <f t="shared" si="20"/>
        <v>Reserve £16,072</v>
      </c>
      <c r="N118" s="50"/>
      <c r="O118" s="2"/>
      <c r="P118" s="17">
        <f t="shared" si="26"/>
        <v>775.2989356188717</v>
      </c>
      <c r="Q118" s="11"/>
      <c r="R118" s="18">
        <f t="shared" si="39"/>
        <v>99</v>
      </c>
      <c r="S118" s="88">
        <f t="shared" si="33"/>
        <v>775.2989356188735</v>
      </c>
      <c r="T118" s="18">
        <f t="shared" si="27"/>
      </c>
      <c r="U118" s="2"/>
    </row>
    <row r="119" spans="2:21" ht="15">
      <c r="B119" s="29"/>
      <c r="C119" s="39">
        <f t="shared" si="36"/>
        <v>4</v>
      </c>
      <c r="D119" s="143">
        <f>D118</f>
        <v>7</v>
      </c>
      <c r="E119" s="160">
        <f t="shared" si="28"/>
        <v>607.7638411536481</v>
      </c>
      <c r="F119" s="55">
        <f t="shared" si="37"/>
        <v>775.2989356188735</v>
      </c>
      <c r="G119" s="37">
        <f t="shared" si="30"/>
        <v>3500</v>
      </c>
      <c r="H119" s="38">
        <f t="shared" si="35"/>
        <v>3400</v>
      </c>
      <c r="I119" s="141">
        <f t="shared" si="38"/>
        <v>30</v>
      </c>
      <c r="J119" s="66">
        <f t="shared" si="29"/>
        <v>57749.817358645734</v>
      </c>
      <c r="K119" s="45">
        <f t="shared" si="31"/>
        <v>57749.817358645734</v>
      </c>
      <c r="L119" s="74">
        <f t="shared" si="32"/>
        <v>74036.35685013032</v>
      </c>
      <c r="M119" s="152" t="str">
        <f t="shared" si="20"/>
        <v>Reserve £16,287</v>
      </c>
      <c r="N119" s="50"/>
      <c r="O119" s="2"/>
      <c r="P119" s="17">
        <f t="shared" si="26"/>
        <v>775.2989356188717</v>
      </c>
      <c r="Q119" s="11"/>
      <c r="R119" s="18">
        <f t="shared" si="39"/>
        <v>100</v>
      </c>
      <c r="S119" s="88">
        <f t="shared" si="33"/>
        <v>775.2989356188735</v>
      </c>
      <c r="T119" s="18">
        <f t="shared" si="27"/>
      </c>
      <c r="U119" s="2"/>
    </row>
    <row r="120" spans="2:21" ht="15">
      <c r="B120" s="29"/>
      <c r="C120" s="39">
        <f t="shared" si="36"/>
        <v>5</v>
      </c>
      <c r="D120" s="143">
        <f t="shared" si="34"/>
        <v>7</v>
      </c>
      <c r="E120" s="160">
        <f t="shared" si="28"/>
        <v>604.7484484005032</v>
      </c>
      <c r="F120" s="55">
        <f t="shared" si="37"/>
        <v>775.2989356188735</v>
      </c>
      <c r="G120" s="37">
        <f t="shared" si="30"/>
        <v>3500</v>
      </c>
      <c r="H120" s="38">
        <f t="shared" si="35"/>
        <v>3400</v>
      </c>
      <c r="I120" s="141">
        <f t="shared" si="38"/>
        <v>30</v>
      </c>
      <c r="J120" s="66">
        <f t="shared" si="29"/>
        <v>57190.9756909523</v>
      </c>
      <c r="K120" s="45">
        <f t="shared" si="31"/>
        <v>57190.9756909523</v>
      </c>
      <c r="L120" s="74">
        <f t="shared" si="32"/>
        <v>73692.93666280387</v>
      </c>
      <c r="M120" s="152" t="str">
        <f t="shared" si="20"/>
        <v>Reserve £16,502</v>
      </c>
      <c r="N120" s="50"/>
      <c r="O120" s="2"/>
      <c r="P120" s="17">
        <f t="shared" si="26"/>
        <v>775.2989356188717</v>
      </c>
      <c r="Q120" s="11"/>
      <c r="R120" s="18">
        <f t="shared" si="39"/>
        <v>101</v>
      </c>
      <c r="S120" s="88">
        <f t="shared" si="33"/>
        <v>775.2989356188735</v>
      </c>
      <c r="T120" s="18">
        <f t="shared" si="27"/>
      </c>
      <c r="U120" s="2"/>
    </row>
    <row r="121" spans="2:21" ht="15">
      <c r="B121" s="29"/>
      <c r="C121" s="39">
        <f t="shared" si="36"/>
        <v>6</v>
      </c>
      <c r="D121" s="143">
        <f t="shared" si="34"/>
        <v>7</v>
      </c>
      <c r="E121" s="160">
        <f t="shared" si="28"/>
        <v>601.6872795161727</v>
      </c>
      <c r="F121" s="55">
        <f t="shared" si="37"/>
        <v>775.2989356188735</v>
      </c>
      <c r="G121" s="37">
        <f t="shared" si="30"/>
        <v>3500</v>
      </c>
      <c r="H121" s="38">
        <f t="shared" si="35"/>
        <v>3400</v>
      </c>
      <c r="I121" s="141">
        <f t="shared" si="38"/>
        <v>30</v>
      </c>
      <c r="J121" s="66">
        <f t="shared" si="29"/>
        <v>56628.87411353065</v>
      </c>
      <c r="K121" s="45">
        <f t="shared" si="31"/>
        <v>56628.87411353065</v>
      </c>
      <c r="L121" s="74">
        <f t="shared" si="32"/>
        <v>73347.51319105134</v>
      </c>
      <c r="M121" s="152" t="str">
        <f t="shared" si="20"/>
        <v>Reserve £16,719</v>
      </c>
      <c r="N121" s="50"/>
      <c r="O121" s="2"/>
      <c r="P121" s="17">
        <f t="shared" si="26"/>
        <v>775.2989356188717</v>
      </c>
      <c r="Q121" s="11"/>
      <c r="R121" s="18">
        <f t="shared" si="39"/>
        <v>102</v>
      </c>
      <c r="S121" s="88">
        <f t="shared" si="33"/>
        <v>775.2989356188735</v>
      </c>
      <c r="T121" s="18">
        <f t="shared" si="27"/>
      </c>
      <c r="U121" s="2"/>
    </row>
    <row r="122" spans="2:21" ht="15">
      <c r="B122" s="29"/>
      <c r="C122" s="39">
        <f t="shared" si="36"/>
        <v>7</v>
      </c>
      <c r="D122" s="143">
        <f t="shared" si="34"/>
        <v>7</v>
      </c>
      <c r="E122" s="160">
        <f t="shared" si="28"/>
        <v>598.579337122937</v>
      </c>
      <c r="F122" s="55">
        <f t="shared" si="37"/>
        <v>775.2989356188735</v>
      </c>
      <c r="G122" s="37">
        <f t="shared" si="30"/>
        <v>3500</v>
      </c>
      <c r="H122" s="38">
        <f t="shared" si="35"/>
        <v>3400</v>
      </c>
      <c r="I122" s="141">
        <f t="shared" si="38"/>
        <v>30</v>
      </c>
      <c r="J122" s="66">
        <f t="shared" si="29"/>
        <v>56063.49361024071</v>
      </c>
      <c r="K122" s="45">
        <f t="shared" si="31"/>
        <v>56063.49361024071</v>
      </c>
      <c r="L122" s="74">
        <f t="shared" si="32"/>
        <v>73000.07474904694</v>
      </c>
      <c r="M122" s="152" t="str">
        <f t="shared" si="20"/>
        <v>Reserve £16,937</v>
      </c>
      <c r="N122" s="50"/>
      <c r="O122" s="2"/>
      <c r="P122" s="17">
        <f t="shared" si="26"/>
        <v>775.2989356188716</v>
      </c>
      <c r="Q122" s="11"/>
      <c r="R122" s="18">
        <f t="shared" si="39"/>
        <v>103</v>
      </c>
      <c r="S122" s="88">
        <f t="shared" si="33"/>
        <v>775.2989356188735</v>
      </c>
      <c r="T122" s="18">
        <f t="shared" si="27"/>
      </c>
      <c r="U122" s="2"/>
    </row>
    <row r="123" spans="2:21" ht="15">
      <c r="B123" s="29"/>
      <c r="C123" s="39">
        <f t="shared" si="36"/>
        <v>8</v>
      </c>
      <c r="D123" s="143">
        <f t="shared" si="34"/>
        <v>7</v>
      </c>
      <c r="E123" s="160">
        <f t="shared" si="28"/>
        <v>595.4235947362848</v>
      </c>
      <c r="F123" s="55">
        <f t="shared" si="37"/>
        <v>775.2989356188735</v>
      </c>
      <c r="G123" s="37">
        <f t="shared" si="30"/>
        <v>3500</v>
      </c>
      <c r="H123" s="38">
        <f t="shared" si="35"/>
        <v>3400</v>
      </c>
      <c r="I123" s="141">
        <f t="shared" si="38"/>
        <v>30</v>
      </c>
      <c r="J123" s="66">
        <f t="shared" si="29"/>
        <v>55494.81505401491</v>
      </c>
      <c r="K123" s="45">
        <f t="shared" si="31"/>
        <v>55494.81505401491</v>
      </c>
      <c r="L123" s="74">
        <f t="shared" si="32"/>
        <v>72650.60958279751</v>
      </c>
      <c r="M123" s="152" t="str">
        <f t="shared" si="20"/>
        <v>Reserve £17,156</v>
      </c>
      <c r="N123" s="50"/>
      <c r="O123" s="2"/>
      <c r="P123" s="17">
        <f t="shared" si="26"/>
        <v>775.2989356188715</v>
      </c>
      <c r="Q123" s="11"/>
      <c r="R123" s="18">
        <f t="shared" si="39"/>
        <v>104</v>
      </c>
      <c r="S123" s="88">
        <f t="shared" si="33"/>
        <v>775.2989356188735</v>
      </c>
      <c r="T123" s="18">
        <f t="shared" si="27"/>
      </c>
      <c r="U123" s="2"/>
    </row>
    <row r="124" spans="2:21" ht="15">
      <c r="B124" s="29"/>
      <c r="C124" s="39">
        <f t="shared" si="36"/>
        <v>9</v>
      </c>
      <c r="D124" s="143">
        <f t="shared" si="34"/>
        <v>7</v>
      </c>
      <c r="E124" s="160">
        <f t="shared" si="28"/>
        <v>592.2189956948625</v>
      </c>
      <c r="F124" s="55">
        <f t="shared" si="37"/>
        <v>775.2989356188735</v>
      </c>
      <c r="G124" s="37">
        <f t="shared" si="30"/>
        <v>3500</v>
      </c>
      <c r="H124" s="38">
        <f t="shared" si="35"/>
        <v>3400</v>
      </c>
      <c r="I124" s="141">
        <f t="shared" si="38"/>
        <v>30</v>
      </c>
      <c r="J124" s="66">
        <f t="shared" si="29"/>
        <v>54922.81920621113</v>
      </c>
      <c r="K124" s="45">
        <f t="shared" si="31"/>
        <v>54922.81920621113</v>
      </c>
      <c r="L124" s="74">
        <f t="shared" si="32"/>
        <v>72299.10586974495</v>
      </c>
      <c r="M124" s="152" t="str">
        <f t="shared" si="20"/>
        <v>Reserve £17,376</v>
      </c>
      <c r="N124" s="50"/>
      <c r="O124" s="2"/>
      <c r="P124" s="17">
        <f t="shared" si="26"/>
        <v>775.2989356188717</v>
      </c>
      <c r="Q124" s="11"/>
      <c r="R124" s="18">
        <f t="shared" si="39"/>
        <v>105</v>
      </c>
      <c r="S124" s="88">
        <f t="shared" si="33"/>
        <v>775.2989356188735</v>
      </c>
      <c r="T124" s="18">
        <f t="shared" si="27"/>
      </c>
      <c r="U124" s="2"/>
    </row>
    <row r="125" spans="2:21" ht="15">
      <c r="B125" s="29"/>
      <c r="C125" s="39">
        <f t="shared" si="36"/>
        <v>10</v>
      </c>
      <c r="D125" s="143">
        <f t="shared" si="34"/>
        <v>7</v>
      </c>
      <c r="E125" s="160">
        <f t="shared" si="28"/>
        <v>588.964452042862</v>
      </c>
      <c r="F125" s="55">
        <f t="shared" si="37"/>
        <v>775.2989356188735</v>
      </c>
      <c r="G125" s="37">
        <f t="shared" si="30"/>
        <v>3500</v>
      </c>
      <c r="H125" s="38">
        <f t="shared" si="35"/>
        <v>3400</v>
      </c>
      <c r="I125" s="141">
        <f t="shared" si="38"/>
        <v>30</v>
      </c>
      <c r="J125" s="66">
        <f t="shared" si="29"/>
        <v>54347.48671596182</v>
      </c>
      <c r="K125" s="45">
        <f t="shared" si="31"/>
        <v>54347.48671596182</v>
      </c>
      <c r="L125" s="74">
        <f t="shared" si="32"/>
        <v>71945.55171836625</v>
      </c>
      <c r="M125" s="152" t="str">
        <f t="shared" si="20"/>
        <v>Reserve £17,598</v>
      </c>
      <c r="N125" s="50"/>
      <c r="O125" s="2"/>
      <c r="P125" s="17">
        <f t="shared" si="26"/>
        <v>775.2989356188716</v>
      </c>
      <c r="Q125" s="11"/>
      <c r="R125" s="18">
        <f t="shared" si="39"/>
        <v>106</v>
      </c>
      <c r="S125" s="88">
        <f t="shared" si="33"/>
        <v>775.2989356188735</v>
      </c>
      <c r="T125" s="18">
        <f t="shared" si="27"/>
      </c>
      <c r="U125" s="2"/>
    </row>
    <row r="126" spans="2:21" ht="15">
      <c r="B126" s="29"/>
      <c r="C126" s="39">
        <f t="shared" si="36"/>
        <v>11</v>
      </c>
      <c r="D126" s="143">
        <f t="shared" si="34"/>
        <v>7</v>
      </c>
      <c r="E126" s="160">
        <f t="shared" si="28"/>
        <v>585.6588433623701</v>
      </c>
      <c r="F126" s="55">
        <f t="shared" si="37"/>
        <v>775.2989356188735</v>
      </c>
      <c r="G126" s="37">
        <f t="shared" si="30"/>
        <v>3500</v>
      </c>
      <c r="H126" s="38">
        <f t="shared" si="35"/>
        <v>3400</v>
      </c>
      <c r="I126" s="141">
        <f t="shared" si="38"/>
        <v>30</v>
      </c>
      <c r="J126" s="66">
        <f t="shared" si="29"/>
        <v>53768.7981195194</v>
      </c>
      <c r="K126" s="45">
        <f t="shared" si="31"/>
        <v>53768.7981195194</v>
      </c>
      <c r="L126" s="74">
        <f t="shared" si="32"/>
        <v>71589.93516777117</v>
      </c>
      <c r="M126" s="152" t="str">
        <f t="shared" si="20"/>
        <v>Reserve £17,821</v>
      </c>
      <c r="N126" s="50"/>
      <c r="O126" s="2"/>
      <c r="P126" s="17">
        <f t="shared" si="26"/>
        <v>775.2989356188715</v>
      </c>
      <c r="Q126" s="11"/>
      <c r="R126" s="18">
        <f t="shared" si="39"/>
        <v>107</v>
      </c>
      <c r="S126" s="88">
        <f t="shared" si="33"/>
        <v>775.2989356188735</v>
      </c>
      <c r="T126" s="18">
        <f t="shared" si="27"/>
      </c>
      <c r="U126" s="2"/>
    </row>
    <row r="127" spans="2:21" ht="15">
      <c r="B127" s="77">
        <f>B116</f>
        <v>9</v>
      </c>
      <c r="C127" s="40">
        <f t="shared" si="36"/>
        <v>12</v>
      </c>
      <c r="D127" s="155">
        <f t="shared" si="34"/>
        <v>7</v>
      </c>
      <c r="E127" s="160">
        <f t="shared" si="28"/>
        <v>582.3010155530388</v>
      </c>
      <c r="F127" s="124">
        <f t="shared" si="37"/>
        <v>775.2989356188735</v>
      </c>
      <c r="G127" s="135">
        <f t="shared" si="30"/>
        <v>3500</v>
      </c>
      <c r="H127" s="134">
        <f t="shared" si="35"/>
        <v>3400</v>
      </c>
      <c r="I127" s="141">
        <f t="shared" si="38"/>
        <v>30</v>
      </c>
      <c r="J127" s="66">
        <f t="shared" si="29"/>
        <v>53186.73383959773</v>
      </c>
      <c r="K127" s="46">
        <f t="shared" si="31"/>
        <v>53186.73383959773</v>
      </c>
      <c r="L127" s="75">
        <f t="shared" si="32"/>
        <v>71232.24418729762</v>
      </c>
      <c r="M127" s="153" t="str">
        <f t="shared" si="20"/>
        <v>Reserve £18,046</v>
      </c>
      <c r="N127" s="51"/>
      <c r="O127" s="2"/>
      <c r="P127" s="19">
        <f t="shared" si="26"/>
        <v>775.2989356188713</v>
      </c>
      <c r="Q127" s="13"/>
      <c r="R127" s="20">
        <f t="shared" si="39"/>
        <v>108</v>
      </c>
      <c r="S127" s="89">
        <f t="shared" si="33"/>
        <v>775.2989356188735</v>
      </c>
      <c r="T127" s="133">
        <f t="shared" si="27"/>
      </c>
      <c r="U127" s="2"/>
    </row>
    <row r="128" spans="2:21" ht="15">
      <c r="B128" s="28">
        <f>B127+1</f>
        <v>10</v>
      </c>
      <c r="C128" s="147">
        <f t="shared" si="36"/>
        <v>1</v>
      </c>
      <c r="D128" s="142">
        <f>D127</f>
        <v>7</v>
      </c>
      <c r="E128" s="159">
        <f t="shared" si="28"/>
        <v>578.889779556287</v>
      </c>
      <c r="F128" s="56">
        <f>F127*(1+$F$10/100)</f>
        <v>775.2989356188735</v>
      </c>
      <c r="G128" s="37">
        <f t="shared" si="30"/>
        <v>3500</v>
      </c>
      <c r="H128" s="35">
        <f t="shared" si="35"/>
        <v>3400</v>
      </c>
      <c r="I128" s="140">
        <f t="shared" si="38"/>
        <v>30</v>
      </c>
      <c r="J128" s="65">
        <f t="shared" si="29"/>
        <v>52601.274184709844</v>
      </c>
      <c r="K128" s="44">
        <f t="shared" si="31"/>
        <v>52601.274184709844</v>
      </c>
      <c r="L128" s="73">
        <f t="shared" si="32"/>
        <v>70872.46667610465</v>
      </c>
      <c r="M128" s="151" t="str">
        <f t="shared" si="20"/>
        <v>Reserve £18,271</v>
      </c>
      <c r="N128" s="49"/>
      <c r="O128" s="3"/>
      <c r="P128" s="17">
        <f t="shared" si="26"/>
        <v>775.2989356188714</v>
      </c>
      <c r="Q128" s="11"/>
      <c r="R128" s="18">
        <f t="shared" si="39"/>
        <v>109</v>
      </c>
      <c r="S128" s="87">
        <f t="shared" si="33"/>
        <v>775.2989356188735</v>
      </c>
      <c r="T128" s="18">
        <f t="shared" si="27"/>
      </c>
      <c r="U128" s="2"/>
    </row>
    <row r="129" spans="2:21" ht="15">
      <c r="B129" s="29"/>
      <c r="C129" s="39">
        <f t="shared" si="36"/>
        <v>2</v>
      </c>
      <c r="D129" s="143">
        <f>D128</f>
        <v>7</v>
      </c>
      <c r="E129" s="160">
        <f t="shared" si="28"/>
        <v>575.4239100210676</v>
      </c>
      <c r="F129" s="55">
        <f t="shared" si="37"/>
        <v>775.2989356188735</v>
      </c>
      <c r="G129" s="37">
        <f t="shared" si="30"/>
        <v>3500</v>
      </c>
      <c r="H129" s="38">
        <f t="shared" si="35"/>
        <v>3400</v>
      </c>
      <c r="I129" s="141">
        <f t="shared" si="38"/>
        <v>30</v>
      </c>
      <c r="J129" s="66">
        <f t="shared" si="29"/>
        <v>52012.399348501785</v>
      </c>
      <c r="K129" s="45">
        <f t="shared" si="31"/>
        <v>52012.399348501785</v>
      </c>
      <c r="L129" s="74">
        <f t="shared" si="32"/>
        <v>70510.59046276305</v>
      </c>
      <c r="M129" s="152" t="str">
        <f t="shared" si="20"/>
        <v>Reserve £18,498</v>
      </c>
      <c r="N129" s="50"/>
      <c r="O129" s="2"/>
      <c r="P129" s="17">
        <f t="shared" si="26"/>
        <v>775.2989356188714</v>
      </c>
      <c r="Q129" s="11"/>
      <c r="R129" s="18">
        <f t="shared" si="39"/>
        <v>110</v>
      </c>
      <c r="S129" s="88">
        <f t="shared" si="33"/>
        <v>775.2989356188735</v>
      </c>
      <c r="T129" s="18">
        <f t="shared" si="27"/>
      </c>
      <c r="U129" s="2"/>
    </row>
    <row r="130" spans="2:21" ht="15">
      <c r="B130" s="29"/>
      <c r="C130" s="39">
        <f t="shared" si="36"/>
        <v>3</v>
      </c>
      <c r="D130" s="143">
        <f>D129</f>
        <v>7</v>
      </c>
      <c r="E130" s="160">
        <f t="shared" si="28"/>
        <v>571.9021439080559</v>
      </c>
      <c r="F130" s="55">
        <f t="shared" si="37"/>
        <v>775.2989356188735</v>
      </c>
      <c r="G130" s="37">
        <f t="shared" si="30"/>
        <v>3500</v>
      </c>
      <c r="H130" s="38">
        <f t="shared" si="35"/>
        <v>3400</v>
      </c>
      <c r="I130" s="141">
        <f t="shared" si="38"/>
        <v>30</v>
      </c>
      <c r="J130" s="66">
        <f t="shared" si="29"/>
        <v>51420.08940908251</v>
      </c>
      <c r="K130" s="45">
        <f t="shared" si="31"/>
        <v>51420.08940908251</v>
      </c>
      <c r="L130" s="74">
        <f t="shared" si="32"/>
        <v>70146.60330484362</v>
      </c>
      <c r="M130" s="152" t="str">
        <f t="shared" si="20"/>
        <v>Reserve £18,727</v>
      </c>
      <c r="N130" s="50"/>
      <c r="O130" s="2"/>
      <c r="P130" s="17">
        <f t="shared" si="26"/>
        <v>775.2989356188714</v>
      </c>
      <c r="Q130" s="11"/>
      <c r="R130" s="18">
        <f t="shared" si="39"/>
        <v>111</v>
      </c>
      <c r="S130" s="88">
        <f t="shared" si="33"/>
        <v>775.2989356188735</v>
      </c>
      <c r="T130" s="18">
        <f t="shared" si="27"/>
      </c>
      <c r="U130" s="2"/>
    </row>
    <row r="131" spans="2:21" ht="15">
      <c r="B131" s="29"/>
      <c r="C131" s="39">
        <f t="shared" si="36"/>
        <v>4</v>
      </c>
      <c r="D131" s="143">
        <f>D130</f>
        <v>7</v>
      </c>
      <c r="E131" s="160">
        <f t="shared" si="28"/>
        <v>568.3231790289141</v>
      </c>
      <c r="F131" s="55">
        <f t="shared" si="37"/>
        <v>775.2989356188735</v>
      </c>
      <c r="G131" s="37">
        <f t="shared" si="30"/>
        <v>3500</v>
      </c>
      <c r="H131" s="38">
        <f t="shared" si="35"/>
        <v>3400</v>
      </c>
      <c r="I131" s="141">
        <f t="shared" si="38"/>
        <v>30</v>
      </c>
      <c r="J131" s="66">
        <f t="shared" si="29"/>
        <v>50824.324328349954</v>
      </c>
      <c r="K131" s="45">
        <f t="shared" si="31"/>
        <v>50824.324328349954</v>
      </c>
      <c r="L131" s="74">
        <f t="shared" si="32"/>
        <v>69780.492888503</v>
      </c>
      <c r="M131" s="152" t="str">
        <f t="shared" si="20"/>
        <v>Reserve £18,956</v>
      </c>
      <c r="N131" s="50"/>
      <c r="O131" s="2"/>
      <c r="P131" s="17">
        <f t="shared" si="26"/>
        <v>775.2989356188712</v>
      </c>
      <c r="Q131" s="11"/>
      <c r="R131" s="18">
        <f t="shared" si="39"/>
        <v>112</v>
      </c>
      <c r="S131" s="88">
        <f t="shared" si="33"/>
        <v>775.2989356188735</v>
      </c>
      <c r="T131" s="18">
        <f t="shared" si="27"/>
      </c>
      <c r="U131" s="2"/>
    </row>
    <row r="132" spans="2:21" ht="15">
      <c r="B132" s="29"/>
      <c r="C132" s="39">
        <f t="shared" si="36"/>
        <v>5</v>
      </c>
      <c r="D132" s="143">
        <f t="shared" si="34"/>
        <v>7</v>
      </c>
      <c r="E132" s="160">
        <f t="shared" si="28"/>
        <v>564.6856725170855</v>
      </c>
      <c r="F132" s="55">
        <f t="shared" si="37"/>
        <v>775.2989356188735</v>
      </c>
      <c r="G132" s="37">
        <f t="shared" si="30"/>
        <v>3500</v>
      </c>
      <c r="H132" s="38">
        <f t="shared" si="35"/>
        <v>3400</v>
      </c>
      <c r="I132" s="141">
        <f t="shared" si="38"/>
        <v>30</v>
      </c>
      <c r="J132" s="66">
        <f t="shared" si="29"/>
        <v>50225.08395131313</v>
      </c>
      <c r="K132" s="45">
        <f t="shared" si="31"/>
        <v>50225.08395131313</v>
      </c>
      <c r="L132" s="74">
        <f t="shared" si="32"/>
        <v>69412.24682806706</v>
      </c>
      <c r="M132" s="152" t="str">
        <f t="shared" si="20"/>
        <v>Reserve £19,187</v>
      </c>
      <c r="N132" s="50"/>
      <c r="O132" s="2"/>
      <c r="P132" s="17">
        <f t="shared" si="26"/>
        <v>775.2989356188712</v>
      </c>
      <c r="Q132" s="11"/>
      <c r="R132" s="18">
        <f t="shared" si="39"/>
        <v>113</v>
      </c>
      <c r="S132" s="88">
        <f t="shared" si="33"/>
        <v>775.2989356188735</v>
      </c>
      <c r="T132" s="18">
        <f t="shared" si="27"/>
      </c>
      <c r="U132" s="2"/>
    </row>
    <row r="133" spans="2:21" ht="15">
      <c r="B133" s="29"/>
      <c r="C133" s="39">
        <f t="shared" si="36"/>
        <v>6</v>
      </c>
      <c r="D133" s="143">
        <f t="shared" si="34"/>
        <v>7</v>
      </c>
      <c r="E133" s="160">
        <f t="shared" si="28"/>
        <v>560.9882392263411</v>
      </c>
      <c r="F133" s="55">
        <f t="shared" si="37"/>
        <v>775.2989356188735</v>
      </c>
      <c r="G133" s="37">
        <f t="shared" si="30"/>
        <v>3500</v>
      </c>
      <c r="H133" s="38">
        <f t="shared" si="35"/>
        <v>3400</v>
      </c>
      <c r="I133" s="141">
        <f t="shared" si="38"/>
        <v>30</v>
      </c>
      <c r="J133" s="66">
        <f t="shared" si="29"/>
        <v>49622.348005410255</v>
      </c>
      <c r="K133" s="45">
        <f t="shared" si="31"/>
        <v>49622.348005410255</v>
      </c>
      <c r="L133" s="74">
        <f t="shared" si="32"/>
        <v>69041.8526656119</v>
      </c>
      <c r="M133" s="152" t="str">
        <f t="shared" si="20"/>
        <v>Reserve £19,420</v>
      </c>
      <c r="N133" s="50"/>
      <c r="O133" s="2"/>
      <c r="P133" s="17">
        <f t="shared" si="26"/>
        <v>775.2989356188713</v>
      </c>
      <c r="Q133" s="11"/>
      <c r="R133" s="18">
        <f t="shared" si="39"/>
        <v>114</v>
      </c>
      <c r="S133" s="88">
        <f t="shared" si="33"/>
        <v>775.2989356188735</v>
      </c>
      <c r="T133" s="18">
        <f t="shared" si="27"/>
      </c>
      <c r="U133" s="2"/>
    </row>
    <row r="134" spans="2:21" ht="15">
      <c r="B134" s="29"/>
      <c r="C134" s="39">
        <f t="shared" si="36"/>
        <v>7</v>
      </c>
      <c r="D134" s="143">
        <f t="shared" si="34"/>
        <v>7</v>
      </c>
      <c r="E134" s="160">
        <f t="shared" si="28"/>
        <v>557.2294500530667</v>
      </c>
      <c r="F134" s="55">
        <f t="shared" si="37"/>
        <v>775.2989356188735</v>
      </c>
      <c r="G134" s="37">
        <f t="shared" si="30"/>
        <v>3500</v>
      </c>
      <c r="H134" s="38">
        <f t="shared" si="35"/>
        <v>3400</v>
      </c>
      <c r="I134" s="141">
        <f t="shared" si="38"/>
        <v>30</v>
      </c>
      <c r="J134" s="66">
        <f t="shared" si="29"/>
        <v>49016.09609982294</v>
      </c>
      <c r="K134" s="45">
        <f t="shared" si="31"/>
        <v>49016.09609982294</v>
      </c>
      <c r="L134" s="74">
        <f t="shared" si="32"/>
        <v>68669.29787054243</v>
      </c>
      <c r="M134" s="152" t="str">
        <f t="shared" si="20"/>
        <v>Reserve £19,653</v>
      </c>
      <c r="N134" s="50"/>
      <c r="O134" s="2"/>
      <c r="P134" s="17">
        <f t="shared" si="26"/>
        <v>775.2989356188709</v>
      </c>
      <c r="Q134" s="11"/>
      <c r="R134" s="18">
        <f t="shared" si="39"/>
        <v>115</v>
      </c>
      <c r="S134" s="88">
        <f t="shared" si="33"/>
        <v>775.2989356188735</v>
      </c>
      <c r="T134" s="18">
        <f t="shared" si="27"/>
      </c>
      <c r="U134" s="2"/>
    </row>
    <row r="135" spans="2:21" ht="15">
      <c r="B135" s="29"/>
      <c r="C135" s="39">
        <f t="shared" si="36"/>
        <v>8</v>
      </c>
      <c r="D135" s="143">
        <f t="shared" si="34"/>
        <v>7</v>
      </c>
      <c r="E135" s="160">
        <f t="shared" si="28"/>
        <v>553.40783017802</v>
      </c>
      <c r="F135" s="55">
        <f t="shared" si="37"/>
        <v>775.2989356188735</v>
      </c>
      <c r="G135" s="37">
        <f t="shared" si="30"/>
        <v>3500</v>
      </c>
      <c r="H135" s="38">
        <f t="shared" si="35"/>
        <v>3400</v>
      </c>
      <c r="I135" s="141">
        <f t="shared" si="38"/>
        <v>30</v>
      </c>
      <c r="J135" s="66">
        <f t="shared" si="29"/>
        <v>48406.30772478638</v>
      </c>
      <c r="K135" s="45">
        <f t="shared" si="31"/>
        <v>48406.30772478638</v>
      </c>
      <c r="L135" s="74">
        <f t="shared" si="32"/>
        <v>68294.56983916838</v>
      </c>
      <c r="M135" s="152" t="str">
        <f t="shared" si="20"/>
        <v>Reserve £19,888</v>
      </c>
      <c r="N135" s="50"/>
      <c r="O135" s="2"/>
      <c r="P135" s="17">
        <f t="shared" si="26"/>
        <v>775.2989356188709</v>
      </c>
      <c r="Q135" s="11"/>
      <c r="R135" s="18">
        <f t="shared" si="39"/>
        <v>116</v>
      </c>
      <c r="S135" s="88">
        <f t="shared" si="33"/>
        <v>775.2989356188735</v>
      </c>
      <c r="T135" s="18">
        <f t="shared" si="27"/>
      </c>
      <c r="U135" s="2"/>
    </row>
    <row r="136" spans="2:21" ht="15">
      <c r="B136" s="29"/>
      <c r="C136" s="39">
        <f t="shared" si="36"/>
        <v>9</v>
      </c>
      <c r="D136" s="143">
        <f t="shared" si="34"/>
        <v>7</v>
      </c>
      <c r="E136" s="160">
        <f t="shared" si="28"/>
        <v>549.5218572230104</v>
      </c>
      <c r="F136" s="55">
        <f t="shared" si="37"/>
        <v>775.2989356188735</v>
      </c>
      <c r="G136" s="37">
        <f t="shared" si="30"/>
        <v>3500</v>
      </c>
      <c r="H136" s="38">
        <f t="shared" si="35"/>
        <v>3400</v>
      </c>
      <c r="I136" s="141">
        <f t="shared" si="38"/>
        <v>30</v>
      </c>
      <c r="J136" s="66">
        <f t="shared" si="29"/>
        <v>47792.96225089543</v>
      </c>
      <c r="K136" s="45">
        <f t="shared" si="31"/>
        <v>47792.96225089543</v>
      </c>
      <c r="L136" s="74">
        <f t="shared" si="32"/>
        <v>67917.655894278</v>
      </c>
      <c r="M136" s="152" t="str">
        <f t="shared" si="20"/>
        <v>Reserve £20,125</v>
      </c>
      <c r="N136" s="50"/>
      <c r="O136" s="2"/>
      <c r="P136" s="17">
        <f t="shared" si="26"/>
        <v>775.2989356188709</v>
      </c>
      <c r="Q136" s="11"/>
      <c r="R136" s="18">
        <f t="shared" si="39"/>
        <v>117</v>
      </c>
      <c r="S136" s="88">
        <f t="shared" si="33"/>
        <v>775.2989356188735</v>
      </c>
      <c r="T136" s="18">
        <f t="shared" si="27"/>
      </c>
      <c r="U136" s="2"/>
    </row>
    <row r="137" spans="2:21" ht="15">
      <c r="B137" s="29"/>
      <c r="C137" s="39">
        <f t="shared" si="36"/>
        <v>10</v>
      </c>
      <c r="D137" s="143">
        <f t="shared" si="34"/>
        <v>7</v>
      </c>
      <c r="E137" s="160">
        <f t="shared" si="28"/>
        <v>545.5699593176604</v>
      </c>
      <c r="F137" s="55">
        <f t="shared" si="37"/>
        <v>775.2989356188735</v>
      </c>
      <c r="G137" s="37">
        <f t="shared" si="30"/>
        <v>3500</v>
      </c>
      <c r="H137" s="38">
        <f t="shared" si="35"/>
        <v>3400</v>
      </c>
      <c r="I137" s="141">
        <f t="shared" si="38"/>
        <v>30</v>
      </c>
      <c r="J137" s="66">
        <f t="shared" si="29"/>
        <v>47176.03892840678</v>
      </c>
      <c r="K137" s="45">
        <f t="shared" si="31"/>
        <v>47176.03892840678</v>
      </c>
      <c r="L137" s="74">
        <f t="shared" si="32"/>
        <v>67538.54328470907</v>
      </c>
      <c r="M137" s="152" t="str">
        <f t="shared" si="20"/>
        <v>Reserve £20,363</v>
      </c>
      <c r="N137" s="50"/>
      <c r="O137" s="2"/>
      <c r="P137" s="17">
        <f t="shared" si="26"/>
        <v>775.2989356188709</v>
      </c>
      <c r="Q137" s="11"/>
      <c r="R137" s="18">
        <f t="shared" si="39"/>
        <v>118</v>
      </c>
      <c r="S137" s="88">
        <f t="shared" si="33"/>
        <v>775.2989356188735</v>
      </c>
      <c r="T137" s="18">
        <f t="shared" si="27"/>
      </c>
      <c r="U137" s="2"/>
    </row>
    <row r="138" spans="2:21" ht="15">
      <c r="B138" s="29"/>
      <c r="C138" s="39">
        <f t="shared" si="36"/>
        <v>11</v>
      </c>
      <c r="D138" s="143">
        <f t="shared" si="34"/>
        <v>7</v>
      </c>
      <c r="E138" s="160">
        <f t="shared" si="28"/>
        <v>541.5505130710897</v>
      </c>
      <c r="F138" s="55">
        <f t="shared" si="37"/>
        <v>775.2989356188735</v>
      </c>
      <c r="G138" s="37">
        <f t="shared" si="30"/>
        <v>3500</v>
      </c>
      <c r="H138" s="38">
        <f t="shared" si="35"/>
        <v>3400</v>
      </c>
      <c r="I138" s="141">
        <f t="shared" si="38"/>
        <v>30</v>
      </c>
      <c r="J138" s="66">
        <f t="shared" si="29"/>
        <v>46555.51688653695</v>
      </c>
      <c r="K138" s="45">
        <f t="shared" si="31"/>
        <v>46555.51688653695</v>
      </c>
      <c r="L138" s="74">
        <f t="shared" si="32"/>
        <v>67157.21918491766</v>
      </c>
      <c r="M138" s="152" t="str">
        <f t="shared" si="20"/>
        <v>Reserve £20,602</v>
      </c>
      <c r="N138" s="50"/>
      <c r="O138" s="2"/>
      <c r="P138" s="17">
        <f t="shared" si="26"/>
        <v>775.2989356188709</v>
      </c>
      <c r="Q138" s="11"/>
      <c r="R138" s="18">
        <f t="shared" si="39"/>
        <v>119</v>
      </c>
      <c r="S138" s="88">
        <f t="shared" si="33"/>
        <v>775.2989356188735</v>
      </c>
      <c r="T138" s="18">
        <f t="shared" si="27"/>
      </c>
      <c r="U138" s="2"/>
    </row>
    <row r="139" spans="2:21" ht="15">
      <c r="B139" s="77">
        <f>B128</f>
        <v>10</v>
      </c>
      <c r="C139" s="40">
        <f t="shared" si="36"/>
        <v>12</v>
      </c>
      <c r="D139" s="155">
        <f t="shared" si="34"/>
        <v>7</v>
      </c>
      <c r="E139" s="160">
        <f t="shared" si="28"/>
        <v>537.4618414430215</v>
      </c>
      <c r="F139" s="124">
        <f t="shared" si="37"/>
        <v>775.2989356188735</v>
      </c>
      <c r="G139" s="135">
        <f t="shared" si="30"/>
        <v>3500</v>
      </c>
      <c r="H139" s="134">
        <f t="shared" si="35"/>
        <v>3400</v>
      </c>
      <c r="I139" s="141">
        <f t="shared" si="38"/>
        <v>30</v>
      </c>
      <c r="J139" s="66">
        <f t="shared" si="29"/>
        <v>45931.37513275621</v>
      </c>
      <c r="K139" s="46">
        <f t="shared" si="31"/>
        <v>45931.37513275621</v>
      </c>
      <c r="L139" s="75">
        <f t="shared" si="32"/>
        <v>66773.67069454414</v>
      </c>
      <c r="M139" s="153" t="str">
        <f t="shared" si="20"/>
        <v>Reserve £20,842</v>
      </c>
      <c r="N139" s="51"/>
      <c r="O139" s="2"/>
      <c r="P139" s="19">
        <f t="shared" si="26"/>
        <v>775.2989356188708</v>
      </c>
      <c r="Q139" s="13"/>
      <c r="R139" s="20">
        <f t="shared" si="39"/>
        <v>120</v>
      </c>
      <c r="S139" s="89">
        <f t="shared" si="33"/>
        <v>775.2989356188735</v>
      </c>
      <c r="T139" s="133">
        <f t="shared" si="27"/>
      </c>
      <c r="U139" s="2"/>
    </row>
    <row r="140" spans="2:21" ht="15">
      <c r="B140" s="28">
        <f>B139+1</f>
        <v>11</v>
      </c>
      <c r="C140" s="147">
        <f t="shared" si="36"/>
        <v>1</v>
      </c>
      <c r="D140" s="142">
        <f>D139</f>
        <v>7</v>
      </c>
      <c r="E140" s="159">
        <f t="shared" si="28"/>
        <v>533.302211508444</v>
      </c>
      <c r="F140" s="56">
        <f>F139*(1+$F$10/100)</f>
        <v>775.2989356188735</v>
      </c>
      <c r="G140" s="37">
        <f t="shared" si="30"/>
        <v>3500</v>
      </c>
      <c r="H140" s="35">
        <f t="shared" si="35"/>
        <v>3400</v>
      </c>
      <c r="I140" s="140">
        <f t="shared" si="38"/>
        <v>30</v>
      </c>
      <c r="J140" s="65">
        <f t="shared" si="29"/>
        <v>45303.59255207842</v>
      </c>
      <c r="K140" s="44">
        <f t="shared" si="31"/>
        <v>45303.59255207842</v>
      </c>
      <c r="L140" s="73">
        <f t="shared" si="32"/>
        <v>66387.88483797677</v>
      </c>
      <c r="M140" s="151" t="str">
        <f t="shared" si="20"/>
        <v>Reserve £21,084</v>
      </c>
      <c r="N140" s="49"/>
      <c r="O140" s="3"/>
      <c r="P140" s="17">
        <f t="shared" si="26"/>
        <v>775.2989356188709</v>
      </c>
      <c r="Q140" s="11"/>
      <c r="R140" s="18">
        <f t="shared" si="39"/>
        <v>121</v>
      </c>
      <c r="S140" s="87">
        <f t="shared" si="33"/>
        <v>775.2989356188735</v>
      </c>
      <c r="T140" s="18">
        <f t="shared" si="27"/>
      </c>
      <c r="U140" s="2"/>
    </row>
    <row r="141" spans="2:21" ht="15">
      <c r="B141" s="29"/>
      <c r="C141" s="39">
        <f t="shared" si="36"/>
        <v>2</v>
      </c>
      <c r="D141" s="143">
        <f>D140</f>
        <v>7</v>
      </c>
      <c r="E141" s="160">
        <f t="shared" si="28"/>
        <v>529.0698321095634</v>
      </c>
      <c r="F141" s="55">
        <f t="shared" si="37"/>
        <v>775.2989356188735</v>
      </c>
      <c r="G141" s="37">
        <f t="shared" si="30"/>
        <v>3500</v>
      </c>
      <c r="H141" s="38">
        <f t="shared" si="35"/>
        <v>3400</v>
      </c>
      <c r="I141" s="141">
        <f t="shared" si="38"/>
        <v>30</v>
      </c>
      <c r="J141" s="66">
        <f t="shared" si="29"/>
        <v>44672.147906346676</v>
      </c>
      <c r="K141" s="45">
        <f t="shared" si="31"/>
        <v>44672.147906346676</v>
      </c>
      <c r="L141" s="74">
        <f t="shared" si="32"/>
        <v>65999.84856391276</v>
      </c>
      <c r="M141" s="152" t="str">
        <f t="shared" si="20"/>
        <v>Reserve £21,328</v>
      </c>
      <c r="N141" s="50"/>
      <c r="O141" s="2"/>
      <c r="P141" s="17">
        <f t="shared" si="26"/>
        <v>775.2989356188708</v>
      </c>
      <c r="Q141" s="11"/>
      <c r="R141" s="18">
        <f t="shared" si="39"/>
        <v>122</v>
      </c>
      <c r="S141" s="88">
        <f t="shared" si="33"/>
        <v>775.2989356188735</v>
      </c>
      <c r="T141" s="18">
        <f t="shared" si="27"/>
      </c>
      <c r="U141" s="2"/>
    </row>
    <row r="142" spans="2:21" ht="15">
      <c r="B142" s="29"/>
      <c r="C142" s="39">
        <f t="shared" si="36"/>
        <v>3</v>
      </c>
      <c r="D142" s="143">
        <f>D141</f>
        <v>7</v>
      </c>
      <c r="E142" s="160">
        <f t="shared" si="28"/>
        <v>524.7628513883678</v>
      </c>
      <c r="F142" s="55">
        <f t="shared" si="37"/>
        <v>775.2989356188735</v>
      </c>
      <c r="G142" s="37">
        <f t="shared" si="30"/>
        <v>3500</v>
      </c>
      <c r="H142" s="38">
        <f t="shared" si="35"/>
        <v>3400</v>
      </c>
      <c r="I142" s="141">
        <f t="shared" si="38"/>
        <v>30</v>
      </c>
      <c r="J142" s="66">
        <f t="shared" si="29"/>
        <v>44037.01983351483</v>
      </c>
      <c r="K142" s="45">
        <f t="shared" si="31"/>
        <v>44037.01983351483</v>
      </c>
      <c r="L142" s="74">
        <f t="shared" si="32"/>
        <v>65609.54874491671</v>
      </c>
      <c r="M142" s="152" t="str">
        <f t="shared" si="20"/>
        <v>Reserve £21,573</v>
      </c>
      <c r="N142" s="50"/>
      <c r="O142" s="2"/>
      <c r="P142" s="17">
        <f t="shared" si="26"/>
        <v>775.2989356188706</v>
      </c>
      <c r="Q142" s="11"/>
      <c r="R142" s="18">
        <f t="shared" si="39"/>
        <v>123</v>
      </c>
      <c r="S142" s="88">
        <f t="shared" si="33"/>
        <v>775.2989356188735</v>
      </c>
      <c r="T142" s="18">
        <f t="shared" si="27"/>
      </c>
      <c r="U142" s="2"/>
    </row>
    <row r="143" spans="2:21" ht="15">
      <c r="B143" s="29"/>
      <c r="C143" s="39">
        <f t="shared" si="36"/>
        <v>4</v>
      </c>
      <c r="D143" s="143">
        <f>D142</f>
        <v>7</v>
      </c>
      <c r="E143" s="160">
        <f t="shared" si="28"/>
        <v>520.379354192653</v>
      </c>
      <c r="F143" s="55">
        <f t="shared" si="37"/>
        <v>775.2989356188735</v>
      </c>
      <c r="G143" s="37">
        <f t="shared" si="30"/>
        <v>3500</v>
      </c>
      <c r="H143" s="38">
        <f t="shared" si="35"/>
        <v>3400</v>
      </c>
      <c r="I143" s="141">
        <f t="shared" si="38"/>
        <v>30</v>
      </c>
      <c r="J143" s="66">
        <f t="shared" si="29"/>
        <v>43398.1868469248</v>
      </c>
      <c r="K143" s="45">
        <f t="shared" si="31"/>
        <v>43398.1868469248</v>
      </c>
      <c r="L143" s="74">
        <f t="shared" si="32"/>
        <v>65216.972176976524</v>
      </c>
      <c r="M143" s="152" t="str">
        <f t="shared" si="20"/>
        <v>Reserve £21,819</v>
      </c>
      <c r="N143" s="50"/>
      <c r="O143" s="2"/>
      <c r="P143" s="17">
        <f t="shared" si="26"/>
        <v>775.2989356188706</v>
      </c>
      <c r="Q143" s="11"/>
      <c r="R143" s="18">
        <f t="shared" si="39"/>
        <v>124</v>
      </c>
      <c r="S143" s="88">
        <f t="shared" si="33"/>
        <v>775.2989356188735</v>
      </c>
      <c r="T143" s="18">
        <f t="shared" si="27"/>
      </c>
      <c r="U143" s="2"/>
    </row>
    <row r="144" spans="2:21" ht="15">
      <c r="B144" s="29"/>
      <c r="C144" s="39">
        <f t="shared" si="36"/>
        <v>5</v>
      </c>
      <c r="D144" s="143">
        <f t="shared" si="34"/>
        <v>7</v>
      </c>
      <c r="E144" s="160">
        <f t="shared" si="28"/>
        <v>515.9173593478768</v>
      </c>
      <c r="F144" s="55">
        <f t="shared" si="37"/>
        <v>775.2989356188735</v>
      </c>
      <c r="G144" s="37">
        <f t="shared" si="30"/>
        <v>3500</v>
      </c>
      <c r="H144" s="38">
        <f t="shared" si="35"/>
        <v>3400</v>
      </c>
      <c r="I144" s="141">
        <f t="shared" si="38"/>
        <v>30</v>
      </c>
      <c r="J144" s="66">
        <f t="shared" si="29"/>
        <v>42755.62733457966</v>
      </c>
      <c r="K144" s="45">
        <f t="shared" si="31"/>
        <v>42755.62733457966</v>
      </c>
      <c r="L144" s="74">
        <f t="shared" si="32"/>
        <v>64822.10557905668</v>
      </c>
      <c r="M144" s="152" t="str">
        <f aca="true" t="shared" si="40" ref="M144:M207">IF(R144=$T$320,"Final payment=£"&amp;FIXED(S144,2),IF(R144&gt;$F$8*12,"Loan terminated",IF(ROUND(K144,0)&gt;ROUND(L144,0),"£"&amp;FIXED(K144-L144,0)&amp;" short","Reserve £"&amp;FIXED(L144-K144,0))&amp;IF(G144&gt;K143," Credit too big","")))</f>
        <v>Reserve £22,066</v>
      </c>
      <c r="N144" s="50"/>
      <c r="O144" s="2"/>
      <c r="P144" s="17">
        <f t="shared" si="26"/>
        <v>775.2989356188707</v>
      </c>
      <c r="Q144" s="11"/>
      <c r="R144" s="18">
        <f t="shared" si="39"/>
        <v>125</v>
      </c>
      <c r="S144" s="88">
        <f t="shared" si="33"/>
        <v>775.2989356188735</v>
      </c>
      <c r="T144" s="18">
        <f t="shared" si="27"/>
      </c>
      <c r="U144" s="2"/>
    </row>
    <row r="145" spans="2:21" ht="15">
      <c r="B145" s="29"/>
      <c r="C145" s="39">
        <f t="shared" si="36"/>
        <v>6</v>
      </c>
      <c r="D145" s="143">
        <f t="shared" si="34"/>
        <v>7</v>
      </c>
      <c r="E145" s="160">
        <f t="shared" si="28"/>
        <v>511.37481678667626</v>
      </c>
      <c r="F145" s="55">
        <f t="shared" si="37"/>
        <v>775.2989356188735</v>
      </c>
      <c r="G145" s="37">
        <f t="shared" si="30"/>
        <v>3500</v>
      </c>
      <c r="H145" s="38">
        <f t="shared" si="35"/>
        <v>3400</v>
      </c>
      <c r="I145" s="141">
        <f t="shared" si="38"/>
        <v>30</v>
      </c>
      <c r="J145" s="66">
        <f t="shared" si="29"/>
        <v>42109.319558412506</v>
      </c>
      <c r="K145" s="45">
        <f t="shared" si="31"/>
        <v>42109.319558412506</v>
      </c>
      <c r="L145" s="74">
        <f t="shared" si="32"/>
        <v>64424.93559264898</v>
      </c>
      <c r="M145" s="152" t="str">
        <f t="shared" si="40"/>
        <v>Reserve £22,316</v>
      </c>
      <c r="N145" s="50"/>
      <c r="O145" s="2"/>
      <c r="P145" s="17">
        <f t="shared" si="26"/>
        <v>775.2989356188706</v>
      </c>
      <c r="Q145" s="11"/>
      <c r="R145" s="18">
        <f t="shared" si="39"/>
        <v>126</v>
      </c>
      <c r="S145" s="88">
        <f t="shared" si="33"/>
        <v>775.2989356188735</v>
      </c>
      <c r="T145" s="18">
        <f t="shared" si="27"/>
      </c>
      <c r="U145" s="2"/>
    </row>
    <row r="146" spans="2:21" ht="15">
      <c r="B146" s="29"/>
      <c r="C146" s="39">
        <f t="shared" si="36"/>
        <v>7</v>
      </c>
      <c r="D146" s="143">
        <f t="shared" si="34"/>
        <v>7</v>
      </c>
      <c r="E146" s="160">
        <f t="shared" si="28"/>
        <v>506.7496045273072</v>
      </c>
      <c r="F146" s="55">
        <f t="shared" si="37"/>
        <v>775.2989356188735</v>
      </c>
      <c r="G146" s="37">
        <f t="shared" si="30"/>
        <v>3500</v>
      </c>
      <c r="H146" s="38">
        <f t="shared" si="35"/>
        <v>3400</v>
      </c>
      <c r="I146" s="141">
        <f t="shared" si="38"/>
        <v>30</v>
      </c>
      <c r="J146" s="66">
        <f t="shared" si="29"/>
        <v>41459.24165355104</v>
      </c>
      <c r="K146" s="45">
        <f t="shared" si="31"/>
        <v>41459.24165355104</v>
      </c>
      <c r="L146" s="74">
        <f t="shared" si="32"/>
        <v>64025.44878132056</v>
      </c>
      <c r="M146" s="152" t="str">
        <f t="shared" si="40"/>
        <v>Reserve £22,566</v>
      </c>
      <c r="N146" s="50"/>
      <c r="O146" s="2"/>
      <c r="P146" s="17">
        <f t="shared" si="26"/>
        <v>775.2989356188707</v>
      </c>
      <c r="Q146" s="11"/>
      <c r="R146" s="18">
        <f t="shared" si="39"/>
        <v>127</v>
      </c>
      <c r="S146" s="88">
        <f t="shared" si="33"/>
        <v>775.2989356188735</v>
      </c>
      <c r="T146" s="18">
        <f t="shared" si="27"/>
      </c>
      <c r="U146" s="2"/>
    </row>
    <row r="147" spans="2:21" ht="15">
      <c r="B147" s="29"/>
      <c r="C147" s="39">
        <f t="shared" si="36"/>
        <v>8</v>
      </c>
      <c r="D147" s="143">
        <f t="shared" si="34"/>
        <v>7</v>
      </c>
      <c r="E147" s="160">
        <f t="shared" si="28"/>
        <v>502.0395254916431</v>
      </c>
      <c r="F147" s="55">
        <f t="shared" si="37"/>
        <v>775.2989356188735</v>
      </c>
      <c r="G147" s="37">
        <f t="shared" si="30"/>
        <v>3500</v>
      </c>
      <c r="H147" s="38">
        <f t="shared" si="35"/>
        <v>3400</v>
      </c>
      <c r="I147" s="141">
        <f t="shared" si="38"/>
        <v>30</v>
      </c>
      <c r="J147" s="66">
        <f t="shared" si="29"/>
        <v>40805.371627577886</v>
      </c>
      <c r="K147" s="45">
        <f t="shared" si="31"/>
        <v>40805.371627577886</v>
      </c>
      <c r="L147" s="74">
        <f t="shared" si="32"/>
        <v>63623.6316302594</v>
      </c>
      <c r="M147" s="152" t="str">
        <f t="shared" si="40"/>
        <v>Reserve £22,818</v>
      </c>
      <c r="N147" s="50"/>
      <c r="O147" s="2"/>
      <c r="P147" s="17">
        <f t="shared" si="26"/>
        <v>775.2989356188707</v>
      </c>
      <c r="Q147" s="11"/>
      <c r="R147" s="18">
        <f t="shared" si="39"/>
        <v>128</v>
      </c>
      <c r="S147" s="88">
        <f t="shared" si="33"/>
        <v>775.2989356188735</v>
      </c>
      <c r="T147" s="18">
        <f t="shared" si="27"/>
      </c>
      <c r="U147" s="2"/>
    </row>
    <row r="148" spans="2:21" ht="15">
      <c r="B148" s="29"/>
      <c r="C148" s="39">
        <f t="shared" si="36"/>
        <v>9</v>
      </c>
      <c r="D148" s="143">
        <f t="shared" si="34"/>
        <v>7</v>
      </c>
      <c r="E148" s="160">
        <f t="shared" si="28"/>
        <v>497.24230415271296</v>
      </c>
      <c r="F148" s="55">
        <f t="shared" si="37"/>
        <v>775.2989356188735</v>
      </c>
      <c r="G148" s="37">
        <f t="shared" si="30"/>
        <v>3500</v>
      </c>
      <c r="H148" s="38">
        <f t="shared" si="35"/>
        <v>3400</v>
      </c>
      <c r="I148" s="141">
        <f t="shared" si="38"/>
        <v>30</v>
      </c>
      <c r="J148" s="66">
        <f t="shared" si="29"/>
        <v>40147.687359786556</v>
      </c>
      <c r="K148" s="45">
        <f t="shared" si="31"/>
        <v>40147.687359786556</v>
      </c>
      <c r="L148" s="74">
        <f t="shared" si="32"/>
        <v>63219.47054581704</v>
      </c>
      <c r="M148" s="152" t="str">
        <f t="shared" si="40"/>
        <v>Reserve £23,072</v>
      </c>
      <c r="N148" s="50"/>
      <c r="O148" s="2"/>
      <c r="P148" s="17">
        <f aca="true" t="shared" si="41" ref="P148:P211">IF(R147&lt;F$8*12,PMT(D148/1200,F$8*12-R147,-L147,$A$9),0)</f>
        <v>775.2989356188709</v>
      </c>
      <c r="Q148" s="11"/>
      <c r="R148" s="18">
        <f t="shared" si="39"/>
        <v>129</v>
      </c>
      <c r="S148" s="88">
        <f t="shared" si="33"/>
        <v>775.2989356188735</v>
      </c>
      <c r="T148" s="18">
        <f aca="true" t="shared" si="42" ref="T148:T211">IF(F$9="r",IF(K148&gt;0.1,"",R148),IF(AND(K148&gt;0,R148&lt;$F$8*12),"",R148))</f>
      </c>
      <c r="U148" s="2"/>
    </row>
    <row r="149" spans="2:21" ht="15">
      <c r="B149" s="29"/>
      <c r="C149" s="39">
        <f t="shared" si="36"/>
        <v>10</v>
      </c>
      <c r="D149" s="143">
        <f t="shared" si="34"/>
        <v>7</v>
      </c>
      <c r="E149" s="160">
        <f t="shared" si="28"/>
        <v>492.35558300102247</v>
      </c>
      <c r="F149" s="55">
        <f t="shared" si="37"/>
        <v>775.2989356188735</v>
      </c>
      <c r="G149" s="37">
        <f t="shared" si="30"/>
        <v>3500</v>
      </c>
      <c r="H149" s="38">
        <f t="shared" si="35"/>
        <v>3400</v>
      </c>
      <c r="I149" s="141">
        <f t="shared" si="38"/>
        <v>30</v>
      </c>
      <c r="J149" s="66">
        <f t="shared" si="29"/>
        <v>39486.166600433105</v>
      </c>
      <c r="K149" s="45">
        <f t="shared" si="31"/>
        <v>39486.166600433105</v>
      </c>
      <c r="L149" s="74">
        <f t="shared" si="32"/>
        <v>62812.95185504878</v>
      </c>
      <c r="M149" s="152" t="str">
        <f t="shared" si="40"/>
        <v>Reserve £23,327</v>
      </c>
      <c r="N149" s="50"/>
      <c r="O149" s="2"/>
      <c r="P149" s="17">
        <f t="shared" si="41"/>
        <v>775.298935618871</v>
      </c>
      <c r="Q149" s="11"/>
      <c r="R149" s="18">
        <f t="shared" si="39"/>
        <v>130</v>
      </c>
      <c r="S149" s="88">
        <f t="shared" si="33"/>
        <v>775.2989356188735</v>
      </c>
      <c r="T149" s="18">
        <f t="shared" si="42"/>
      </c>
      <c r="U149" s="2"/>
    </row>
    <row r="150" spans="2:21" ht="15">
      <c r="B150" s="29"/>
      <c r="C150" s="39">
        <f t="shared" si="36"/>
        <v>11</v>
      </c>
      <c r="D150" s="143">
        <f t="shared" si="34"/>
        <v>7</v>
      </c>
      <c r="E150" s="160">
        <f aca="true" t="shared" si="43" ref="E150:E213">IF(F$8*12&gt;R149,MAX(PMT(D150/1200,F$8*12-R149,-K149,A$9)+IF(K149&gt;L149,(K149-L149),0),0),0)</f>
        <v>487.3769188181297</v>
      </c>
      <c r="F150" s="55">
        <f t="shared" si="37"/>
        <v>775.2989356188735</v>
      </c>
      <c r="G150" s="37">
        <f t="shared" si="30"/>
        <v>3500</v>
      </c>
      <c r="H150" s="38">
        <f t="shared" si="35"/>
        <v>3400</v>
      </c>
      <c r="I150" s="141">
        <f t="shared" si="38"/>
        <v>30</v>
      </c>
      <c r="J150" s="66">
        <f aca="true" t="shared" si="44" ref="J150:J213">IF(ROUND(IF(R150&gt;$F$8*12,0,K150),0)&gt;ROUND(L150,0),"Pmt too low!",IF(AND(K150&gt;1,R150&lt;=$F$8*12),K150,"Loan repaid"))</f>
        <v>38820.78696998343</v>
      </c>
      <c r="K150" s="45">
        <f t="shared" si="31"/>
        <v>38820.78696998343</v>
      </c>
      <c r="L150" s="74">
        <f t="shared" si="32"/>
        <v>62404.061805251025</v>
      </c>
      <c r="M150" s="152" t="str">
        <f t="shared" si="40"/>
        <v>Reserve £23,583</v>
      </c>
      <c r="N150" s="50"/>
      <c r="O150" s="2"/>
      <c r="P150" s="17">
        <f t="shared" si="41"/>
        <v>775.2989356188709</v>
      </c>
      <c r="Q150" s="11"/>
      <c r="R150" s="18">
        <f t="shared" si="39"/>
        <v>131</v>
      </c>
      <c r="S150" s="88">
        <f t="shared" si="33"/>
        <v>775.2989356188735</v>
      </c>
      <c r="T150" s="18">
        <f t="shared" si="42"/>
      </c>
      <c r="U150" s="2"/>
    </row>
    <row r="151" spans="2:21" ht="15">
      <c r="B151" s="77">
        <f>B140</f>
        <v>11</v>
      </c>
      <c r="C151" s="40">
        <f t="shared" si="36"/>
        <v>12</v>
      </c>
      <c r="D151" s="155">
        <f t="shared" si="34"/>
        <v>7</v>
      </c>
      <c r="E151" s="160">
        <f t="shared" si="43"/>
        <v>482.3037787450959</v>
      </c>
      <c r="F151" s="124">
        <f t="shared" si="37"/>
        <v>775.2989356188735</v>
      </c>
      <c r="G151" s="135">
        <f t="shared" si="30"/>
        <v>3500</v>
      </c>
      <c r="H151" s="134">
        <f t="shared" si="35"/>
        <v>3400</v>
      </c>
      <c r="I151" s="141">
        <f t="shared" si="38"/>
        <v>30</v>
      </c>
      <c r="J151" s="66">
        <f t="shared" si="44"/>
        <v>38151.52595835613</v>
      </c>
      <c r="K151" s="46">
        <f t="shared" si="31"/>
        <v>38151.52595835613</v>
      </c>
      <c r="L151" s="75">
        <f t="shared" si="32"/>
        <v>61992.78656349612</v>
      </c>
      <c r="M151" s="153" t="str">
        <f t="shared" si="40"/>
        <v>Reserve £23,841</v>
      </c>
      <c r="N151" s="51"/>
      <c r="O151" s="2"/>
      <c r="P151" s="19">
        <f t="shared" si="41"/>
        <v>775.2989356188708</v>
      </c>
      <c r="Q151" s="13"/>
      <c r="R151" s="20">
        <f t="shared" si="39"/>
        <v>132</v>
      </c>
      <c r="S151" s="89">
        <f t="shared" si="33"/>
        <v>775.2989356188735</v>
      </c>
      <c r="T151" s="133">
        <f t="shared" si="42"/>
      </c>
      <c r="U151" s="2"/>
    </row>
    <row r="152" spans="2:21" ht="15">
      <c r="B152" s="28">
        <f>B151+1</f>
        <v>12</v>
      </c>
      <c r="C152" s="147">
        <f t="shared" si="36"/>
        <v>1</v>
      </c>
      <c r="D152" s="142">
        <f t="shared" si="34"/>
        <v>7</v>
      </c>
      <c r="E152" s="159">
        <f t="shared" si="43"/>
        <v>477.1335361325161</v>
      </c>
      <c r="F152" s="56">
        <f>F151*(1+$F$10/100)</f>
        <v>775.2989356188735</v>
      </c>
      <c r="G152" s="37">
        <f t="shared" si="30"/>
        <v>3500</v>
      </c>
      <c r="H152" s="35">
        <f t="shared" si="35"/>
        <v>3400</v>
      </c>
      <c r="I152" s="140">
        <f t="shared" si="38"/>
        <v>30</v>
      </c>
      <c r="J152" s="65">
        <f t="shared" si="44"/>
        <v>37478.360924161</v>
      </c>
      <c r="K152" s="44">
        <f t="shared" si="31"/>
        <v>37478.360924161</v>
      </c>
      <c r="L152" s="73">
        <f t="shared" si="32"/>
        <v>61579.112216164314</v>
      </c>
      <c r="M152" s="151" t="str">
        <f t="shared" si="40"/>
        <v>Reserve £24,101</v>
      </c>
      <c r="N152" s="49"/>
      <c r="O152" s="3"/>
      <c r="P152" s="17">
        <f t="shared" si="41"/>
        <v>775.2989356188712</v>
      </c>
      <c r="Q152" s="11"/>
      <c r="R152" s="18">
        <f t="shared" si="39"/>
        <v>133</v>
      </c>
      <c r="S152" s="87">
        <f t="shared" si="33"/>
        <v>775.2989356188735</v>
      </c>
      <c r="T152" s="18">
        <f t="shared" si="42"/>
      </c>
      <c r="U152" s="2"/>
    </row>
    <row r="153" spans="2:21" ht="15">
      <c r="B153" s="29"/>
      <c r="C153" s="39">
        <f t="shared" si="36"/>
        <v>2</v>
      </c>
      <c r="D153" s="143">
        <f t="shared" si="34"/>
        <v>7</v>
      </c>
      <c r="E153" s="160">
        <f t="shared" si="43"/>
        <v>471.86346615784055</v>
      </c>
      <c r="F153" s="55">
        <f t="shared" si="37"/>
        <v>775.2989356188735</v>
      </c>
      <c r="G153" s="37">
        <f t="shared" si="30"/>
        <v>3500</v>
      </c>
      <c r="H153" s="38">
        <f t="shared" si="35"/>
        <v>3400</v>
      </c>
      <c r="I153" s="141">
        <f t="shared" si="38"/>
        <v>30</v>
      </c>
      <c r="J153" s="66">
        <f t="shared" si="44"/>
        <v>36801.26909393307</v>
      </c>
      <c r="K153" s="45">
        <f t="shared" si="31"/>
        <v>36801.26909393307</v>
      </c>
      <c r="L153" s="74">
        <f t="shared" si="32"/>
        <v>61163.02476847307</v>
      </c>
      <c r="M153" s="152" t="str">
        <f t="shared" si="40"/>
        <v>Reserve £24,362</v>
      </c>
      <c r="N153" s="50"/>
      <c r="O153" s="2"/>
      <c r="P153" s="17">
        <f t="shared" si="41"/>
        <v>775.2989356188712</v>
      </c>
      <c r="Q153" s="11"/>
      <c r="R153" s="18">
        <f t="shared" si="39"/>
        <v>134</v>
      </c>
      <c r="S153" s="88">
        <f t="shared" si="33"/>
        <v>775.2989356188735</v>
      </c>
      <c r="T153" s="18">
        <f t="shared" si="42"/>
      </c>
      <c r="U153" s="2"/>
    </row>
    <row r="154" spans="2:21" ht="15">
      <c r="B154" s="29"/>
      <c r="C154" s="39">
        <f t="shared" si="36"/>
        <v>3</v>
      </c>
      <c r="D154" s="143">
        <f t="shared" si="34"/>
        <v>7</v>
      </c>
      <c r="E154" s="160">
        <f t="shared" si="43"/>
        <v>466.49074119462114</v>
      </c>
      <c r="F154" s="55">
        <f t="shared" si="37"/>
        <v>775.2989356188735</v>
      </c>
      <c r="G154" s="37">
        <f t="shared" si="30"/>
        <v>3500</v>
      </c>
      <c r="H154" s="38">
        <f t="shared" si="35"/>
        <v>3400</v>
      </c>
      <c r="I154" s="141">
        <f t="shared" si="38"/>
        <v>30</v>
      </c>
      <c r="J154" s="66">
        <f t="shared" si="44"/>
        <v>36120.227561362146</v>
      </c>
      <c r="K154" s="45">
        <f t="shared" si="31"/>
        <v>36120.227561362146</v>
      </c>
      <c r="L154" s="74">
        <f t="shared" si="32"/>
        <v>60744.51014400363</v>
      </c>
      <c r="M154" s="152" t="str">
        <f t="shared" si="40"/>
        <v>Reserve £24,624</v>
      </c>
      <c r="N154" s="50"/>
      <c r="O154" s="2"/>
      <c r="P154" s="17">
        <f t="shared" si="41"/>
        <v>775.2989356188713</v>
      </c>
      <c r="Q154" s="11"/>
      <c r="R154" s="18">
        <f t="shared" si="39"/>
        <v>135</v>
      </c>
      <c r="S154" s="88">
        <f t="shared" si="33"/>
        <v>775.2989356188735</v>
      </c>
      <c r="T154" s="18">
        <f t="shared" si="42"/>
      </c>
      <c r="U154" s="2"/>
    </row>
    <row r="155" spans="2:21" ht="15">
      <c r="B155" s="29"/>
      <c r="C155" s="39">
        <f t="shared" si="36"/>
        <v>4</v>
      </c>
      <c r="D155" s="143">
        <f t="shared" si="34"/>
        <v>7</v>
      </c>
      <c r="E155" s="160">
        <f t="shared" si="43"/>
        <v>461.0124259171409</v>
      </c>
      <c r="F155" s="55">
        <f t="shared" si="37"/>
        <v>775.2989356188735</v>
      </c>
      <c r="G155" s="37">
        <f t="shared" si="30"/>
        <v>3500</v>
      </c>
      <c r="H155" s="38">
        <f t="shared" si="35"/>
        <v>3400</v>
      </c>
      <c r="I155" s="141">
        <f t="shared" si="38"/>
        <v>30</v>
      </c>
      <c r="J155" s="66">
        <f t="shared" si="44"/>
        <v>35435.21328651789</v>
      </c>
      <c r="K155" s="45">
        <f t="shared" si="31"/>
        <v>35435.21328651789</v>
      </c>
      <c r="L155" s="74">
        <f t="shared" si="32"/>
        <v>60323.554184224784</v>
      </c>
      <c r="M155" s="152" t="str">
        <f t="shared" si="40"/>
        <v>Reserve £24,888</v>
      </c>
      <c r="N155" s="50"/>
      <c r="O155" s="2"/>
      <c r="P155" s="17">
        <f t="shared" si="41"/>
        <v>775.2989356188712</v>
      </c>
      <c r="Q155" s="11"/>
      <c r="R155" s="18">
        <f t="shared" si="39"/>
        <v>136</v>
      </c>
      <c r="S155" s="88">
        <f t="shared" si="33"/>
        <v>775.2989356188735</v>
      </c>
      <c r="T155" s="18">
        <f t="shared" si="42"/>
      </c>
      <c r="U155" s="2"/>
    </row>
    <row r="156" spans="2:21" ht="15">
      <c r="B156" s="29"/>
      <c r="C156" s="39">
        <f t="shared" si="36"/>
        <v>5</v>
      </c>
      <c r="D156" s="143">
        <f t="shared" si="34"/>
        <v>7</v>
      </c>
      <c r="E156" s="160">
        <f t="shared" si="43"/>
        <v>455.42547212261974</v>
      </c>
      <c r="F156" s="55">
        <f t="shared" si="37"/>
        <v>775.2989356188735</v>
      </c>
      <c r="G156" s="37">
        <f t="shared" si="30"/>
        <v>3500</v>
      </c>
      <c r="H156" s="38">
        <f t="shared" si="35"/>
        <v>3400</v>
      </c>
      <c r="I156" s="141">
        <f t="shared" si="38"/>
        <v>30</v>
      </c>
      <c r="J156" s="66">
        <f t="shared" si="44"/>
        <v>34746.20309507036</v>
      </c>
      <c r="K156" s="45">
        <f t="shared" si="31"/>
        <v>34746.20309507036</v>
      </c>
      <c r="L156" s="74">
        <f t="shared" si="32"/>
        <v>59900.14264801389</v>
      </c>
      <c r="M156" s="152" t="str">
        <f t="shared" si="40"/>
        <v>Reserve £25,154</v>
      </c>
      <c r="N156" s="50"/>
      <c r="O156" s="2"/>
      <c r="P156" s="17">
        <f t="shared" si="41"/>
        <v>775.2989356188714</v>
      </c>
      <c r="Q156" s="11"/>
      <c r="R156" s="18">
        <f t="shared" si="39"/>
        <v>137</v>
      </c>
      <c r="S156" s="88">
        <f t="shared" si="33"/>
        <v>775.2989356188735</v>
      </c>
      <c r="T156" s="18">
        <f t="shared" si="42"/>
      </c>
      <c r="U156" s="2"/>
    </row>
    <row r="157" spans="2:21" ht="15">
      <c r="B157" s="29"/>
      <c r="C157" s="39">
        <f t="shared" si="36"/>
        <v>6</v>
      </c>
      <c r="D157" s="143">
        <f t="shared" si="34"/>
        <v>7</v>
      </c>
      <c r="E157" s="160">
        <f t="shared" si="43"/>
        <v>449.72671325179874</v>
      </c>
      <c r="F157" s="55">
        <f t="shared" si="37"/>
        <v>775.2989356188735</v>
      </c>
      <c r="G157" s="37">
        <f aca="true" t="shared" si="45" ref="G157:G220">IF($F$8*12&lt;R157,0,MIN(G145,K156))</f>
        <v>3500</v>
      </c>
      <c r="H157" s="38">
        <f t="shared" si="35"/>
        <v>3400</v>
      </c>
      <c r="I157" s="141">
        <f t="shared" si="38"/>
        <v>30</v>
      </c>
      <c r="J157" s="66">
        <f t="shared" si="44"/>
        <v>34053.17367750607</v>
      </c>
      <c r="K157" s="45">
        <f aca="true" t="shared" si="46" ref="K157:K220">IF(F$8*12&lt;R157,0,MAX((K156-G157)*(1+D157/1200)-F157+H157*(1-D157*(I157-30)/36000),0))</f>
        <v>34053.17367750607</v>
      </c>
      <c r="L157" s="74">
        <f aca="true" t="shared" si="47" ref="L157:L220">IF(F$8*12&lt;R157,0,L156*(1+D157/1200)-P157)</f>
        <v>59474.2612111751</v>
      </c>
      <c r="M157" s="152" t="str">
        <f t="shared" si="40"/>
        <v>Reserve £25,421</v>
      </c>
      <c r="N157" s="50"/>
      <c r="O157" s="2"/>
      <c r="P157" s="17">
        <f t="shared" si="41"/>
        <v>775.2989356188714</v>
      </c>
      <c r="Q157" s="11"/>
      <c r="R157" s="18">
        <f t="shared" si="39"/>
        <v>138</v>
      </c>
      <c r="S157" s="88">
        <f aca="true" t="shared" si="48" ref="S157:S220">IF(R157&gt;$F$8*12,0,IF(K157&gt;0,F157,(MAX(K156-G157,0))*(1+D157/1200)))</f>
        <v>775.2989356188735</v>
      </c>
      <c r="T157" s="18">
        <f t="shared" si="42"/>
      </c>
      <c r="U157" s="2"/>
    </row>
    <row r="158" spans="2:21" ht="15">
      <c r="B158" s="29"/>
      <c r="C158" s="39">
        <f t="shared" si="36"/>
        <v>7</v>
      </c>
      <c r="D158" s="143">
        <f t="shared" si="34"/>
        <v>7</v>
      </c>
      <c r="E158" s="160">
        <f t="shared" si="43"/>
        <v>443.91285858720767</v>
      </c>
      <c r="F158" s="55">
        <f t="shared" si="37"/>
        <v>775.2989356188735</v>
      </c>
      <c r="G158" s="37">
        <f t="shared" si="45"/>
        <v>3500</v>
      </c>
      <c r="H158" s="38">
        <f t="shared" si="35"/>
        <v>3400</v>
      </c>
      <c r="I158" s="141">
        <f t="shared" si="38"/>
        <v>30</v>
      </c>
      <c r="J158" s="66">
        <f t="shared" si="44"/>
        <v>33356.10158833931</v>
      </c>
      <c r="K158" s="45">
        <f t="shared" si="46"/>
        <v>33356.10158833931</v>
      </c>
      <c r="L158" s="74">
        <f t="shared" si="47"/>
        <v>59045.89546595475</v>
      </c>
      <c r="M158" s="152" t="str">
        <f t="shared" si="40"/>
        <v>Reserve £25,690</v>
      </c>
      <c r="N158" s="50"/>
      <c r="O158" s="2"/>
      <c r="P158" s="17">
        <f t="shared" si="41"/>
        <v>775.2989356188714</v>
      </c>
      <c r="Q158" s="11"/>
      <c r="R158" s="18">
        <f t="shared" si="39"/>
        <v>139</v>
      </c>
      <c r="S158" s="88">
        <f t="shared" si="48"/>
        <v>775.2989356188735</v>
      </c>
      <c r="T158" s="18">
        <f t="shared" si="42"/>
      </c>
      <c r="U158" s="2"/>
    </row>
    <row r="159" spans="2:21" ht="15">
      <c r="B159" s="29"/>
      <c r="C159" s="39">
        <f t="shared" si="36"/>
        <v>8</v>
      </c>
      <c r="D159" s="143">
        <f t="shared" si="34"/>
        <v>7</v>
      </c>
      <c r="E159" s="160">
        <f t="shared" si="43"/>
        <v>437.9804871067722</v>
      </c>
      <c r="F159" s="55">
        <f t="shared" si="37"/>
        <v>775.2989356188735</v>
      </c>
      <c r="G159" s="37">
        <f t="shared" si="45"/>
        <v>3500</v>
      </c>
      <c r="H159" s="38">
        <f t="shared" si="35"/>
        <v>3400</v>
      </c>
      <c r="I159" s="141">
        <f t="shared" si="38"/>
        <v>30</v>
      </c>
      <c r="J159" s="66">
        <f t="shared" si="44"/>
        <v>32654.963245319086</v>
      </c>
      <c r="K159" s="45">
        <f t="shared" si="46"/>
        <v>32654.963245319086</v>
      </c>
      <c r="L159" s="74">
        <f t="shared" si="47"/>
        <v>58615.03092055395</v>
      </c>
      <c r="M159" s="152" t="str">
        <f t="shared" si="40"/>
        <v>Reserve £25,960</v>
      </c>
      <c r="N159" s="50"/>
      <c r="O159" s="2"/>
      <c r="P159" s="17">
        <f t="shared" si="41"/>
        <v>775.2989356188714</v>
      </c>
      <c r="Q159" s="11"/>
      <c r="R159" s="18">
        <f t="shared" si="39"/>
        <v>140</v>
      </c>
      <c r="S159" s="88">
        <f t="shared" si="48"/>
        <v>775.2989356188735</v>
      </c>
      <c r="T159" s="18">
        <f t="shared" si="42"/>
      </c>
      <c r="U159" s="2"/>
    </row>
    <row r="160" spans="2:21" ht="15">
      <c r="B160" s="29"/>
      <c r="C160" s="39">
        <f t="shared" si="36"/>
        <v>9</v>
      </c>
      <c r="D160" s="143">
        <f aca="true" t="shared" si="49" ref="D160:D223">D159</f>
        <v>7</v>
      </c>
      <c r="E160" s="160">
        <f t="shared" si="43"/>
        <v>431.9260409686395</v>
      </c>
      <c r="F160" s="55">
        <f t="shared" si="37"/>
        <v>775.2989356188735</v>
      </c>
      <c r="G160" s="37">
        <f t="shared" si="45"/>
        <v>3500</v>
      </c>
      <c r="H160" s="38">
        <f aca="true" t="shared" si="50" ref="H160:H223">IF($F$8*12&lt;R160,0,IF(G160=K159,0,H148))</f>
        <v>3400</v>
      </c>
      <c r="I160" s="141">
        <f t="shared" si="38"/>
        <v>30</v>
      </c>
      <c r="J160" s="66">
        <f t="shared" si="44"/>
        <v>31949.734928631242</v>
      </c>
      <c r="K160" s="45">
        <f t="shared" si="46"/>
        <v>31949.734928631242</v>
      </c>
      <c r="L160" s="74">
        <f t="shared" si="47"/>
        <v>58181.65299863832</v>
      </c>
      <c r="M160" s="152" t="str">
        <f t="shared" si="40"/>
        <v>Reserve £26,232</v>
      </c>
      <c r="N160" s="50"/>
      <c r="O160" s="2"/>
      <c r="P160" s="17">
        <f t="shared" si="41"/>
        <v>775.2989356188715</v>
      </c>
      <c r="Q160" s="11"/>
      <c r="R160" s="18">
        <f t="shared" si="39"/>
        <v>141</v>
      </c>
      <c r="S160" s="88">
        <f t="shared" si="48"/>
        <v>775.2989356188735</v>
      </c>
      <c r="T160" s="18">
        <f t="shared" si="42"/>
      </c>
      <c r="U160" s="2"/>
    </row>
    <row r="161" spans="2:21" ht="15">
      <c r="B161" s="29"/>
      <c r="C161" s="39">
        <f aca="true" t="shared" si="51" ref="C161:C224">C149</f>
        <v>10</v>
      </c>
      <c r="D161" s="143">
        <f t="shared" si="49"/>
        <v>7</v>
      </c>
      <c r="E161" s="160">
        <f t="shared" si="43"/>
        <v>425.74581860114245</v>
      </c>
      <c r="F161" s="55">
        <f aca="true" t="shared" si="52" ref="F161:F223">F160</f>
        <v>775.2989356188735</v>
      </c>
      <c r="G161" s="37">
        <f t="shared" si="45"/>
        <v>3500</v>
      </c>
      <c r="H161" s="38">
        <f t="shared" si="50"/>
        <v>3400</v>
      </c>
      <c r="I161" s="141">
        <f t="shared" si="38"/>
        <v>30</v>
      </c>
      <c r="J161" s="66">
        <f t="shared" si="44"/>
        <v>31240.392780096052</v>
      </c>
      <c r="K161" s="45">
        <f t="shared" si="46"/>
        <v>31240.392780096052</v>
      </c>
      <c r="L161" s="74">
        <f t="shared" si="47"/>
        <v>57745.74703884484</v>
      </c>
      <c r="M161" s="152" t="str">
        <f t="shared" si="40"/>
        <v>Reserve £26,505</v>
      </c>
      <c r="N161" s="50"/>
      <c r="O161" s="2"/>
      <c r="P161" s="17">
        <f t="shared" si="41"/>
        <v>775.2989356188715</v>
      </c>
      <c r="Q161" s="11"/>
      <c r="R161" s="18">
        <f t="shared" si="39"/>
        <v>142</v>
      </c>
      <c r="S161" s="88">
        <f t="shared" si="48"/>
        <v>775.2989356188735</v>
      </c>
      <c r="T161" s="18">
        <f t="shared" si="42"/>
      </c>
      <c r="U161" s="2"/>
    </row>
    <row r="162" spans="2:21" ht="15">
      <c r="B162" s="29"/>
      <c r="C162" s="39">
        <f t="shared" si="51"/>
        <v>11</v>
      </c>
      <c r="D162" s="143">
        <f t="shared" si="49"/>
        <v>7</v>
      </c>
      <c r="E162" s="160">
        <f t="shared" si="43"/>
        <v>419.43596736970125</v>
      </c>
      <c r="F162" s="55">
        <f t="shared" si="52"/>
        <v>775.2989356188735</v>
      </c>
      <c r="G162" s="37">
        <f t="shared" si="45"/>
        <v>3500</v>
      </c>
      <c r="H162" s="38">
        <f t="shared" si="50"/>
        <v>3400</v>
      </c>
      <c r="I162" s="141">
        <f aca="true" t="shared" si="53" ref="I162:I225">I150</f>
        <v>30</v>
      </c>
      <c r="J162" s="66">
        <f t="shared" si="44"/>
        <v>30526.912802361072</v>
      </c>
      <c r="K162" s="45">
        <f t="shared" si="46"/>
        <v>30526.912802361072</v>
      </c>
      <c r="L162" s="74">
        <f t="shared" si="47"/>
        <v>57307.2982942859</v>
      </c>
      <c r="M162" s="152" t="str">
        <f t="shared" si="40"/>
        <v>Reserve £26,780</v>
      </c>
      <c r="N162" s="50"/>
      <c r="O162" s="2"/>
      <c r="P162" s="17">
        <f t="shared" si="41"/>
        <v>775.2989356188715</v>
      </c>
      <c r="Q162" s="11"/>
      <c r="R162" s="18">
        <f t="shared" si="39"/>
        <v>143</v>
      </c>
      <c r="S162" s="88">
        <f t="shared" si="48"/>
        <v>775.2989356188735</v>
      </c>
      <c r="T162" s="18">
        <f t="shared" si="42"/>
      </c>
      <c r="U162" s="2"/>
    </row>
    <row r="163" spans="2:21" ht="15">
      <c r="B163" s="77">
        <f>B152</f>
        <v>12</v>
      </c>
      <c r="C163" s="40">
        <f t="shared" si="51"/>
        <v>12</v>
      </c>
      <c r="D163" s="155">
        <f t="shared" si="49"/>
        <v>7</v>
      </c>
      <c r="E163" s="160">
        <f t="shared" si="43"/>
        <v>412.99247579013036</v>
      </c>
      <c r="F163" s="124">
        <f t="shared" si="52"/>
        <v>775.2989356188735</v>
      </c>
      <c r="G163" s="135">
        <f t="shared" si="45"/>
        <v>3500</v>
      </c>
      <c r="H163" s="134">
        <f t="shared" si="50"/>
        <v>3400</v>
      </c>
      <c r="I163" s="141">
        <f t="shared" si="53"/>
        <v>30</v>
      </c>
      <c r="J163" s="66">
        <f t="shared" si="44"/>
        <v>29809.270858089305</v>
      </c>
      <c r="K163" s="46">
        <f t="shared" si="46"/>
        <v>29809.270858089305</v>
      </c>
      <c r="L163" s="75">
        <f t="shared" si="47"/>
        <v>56866.291932050364</v>
      </c>
      <c r="M163" s="153" t="str">
        <f t="shared" si="40"/>
        <v>Reserve £27,057</v>
      </c>
      <c r="N163" s="51"/>
      <c r="O163" s="2"/>
      <c r="P163" s="19">
        <f t="shared" si="41"/>
        <v>775.2989356188718</v>
      </c>
      <c r="Q163" s="13"/>
      <c r="R163" s="20">
        <f t="shared" si="39"/>
        <v>144</v>
      </c>
      <c r="S163" s="89">
        <f t="shared" si="48"/>
        <v>775.2989356188735</v>
      </c>
      <c r="T163" s="133">
        <f t="shared" si="42"/>
      </c>
      <c r="U163" s="2"/>
    </row>
    <row r="164" spans="2:21" ht="15">
      <c r="B164" s="28">
        <f>B163+1</f>
        <v>13</v>
      </c>
      <c r="C164" s="147">
        <f t="shared" si="51"/>
        <v>1</v>
      </c>
      <c r="D164" s="142">
        <f t="shared" si="49"/>
        <v>7</v>
      </c>
      <c r="E164" s="159">
        <f t="shared" si="43"/>
        <v>406.41116525527605</v>
      </c>
      <c r="F164" s="56">
        <f>F163*(1+$F$10/100)</f>
        <v>775.2989356188735</v>
      </c>
      <c r="G164" s="37">
        <f t="shared" si="45"/>
        <v>3500</v>
      </c>
      <c r="H164" s="35">
        <f t="shared" si="50"/>
        <v>3400</v>
      </c>
      <c r="I164" s="140">
        <f t="shared" si="53"/>
        <v>30</v>
      </c>
      <c r="J164" s="65">
        <f t="shared" si="44"/>
        <v>29087.44266914262</v>
      </c>
      <c r="K164" s="44">
        <f t="shared" si="46"/>
        <v>29087.44266914262</v>
      </c>
      <c r="L164" s="73">
        <f t="shared" si="47"/>
        <v>56422.71303270179</v>
      </c>
      <c r="M164" s="151" t="str">
        <f t="shared" si="40"/>
        <v>Reserve £27,335</v>
      </c>
      <c r="N164" s="49"/>
      <c r="O164" s="3"/>
      <c r="P164" s="17">
        <f t="shared" si="41"/>
        <v>775.2989356188718</v>
      </c>
      <c r="Q164" s="11"/>
      <c r="R164" s="18">
        <f t="shared" si="39"/>
        <v>145</v>
      </c>
      <c r="S164" s="87">
        <f t="shared" si="48"/>
        <v>775.2989356188735</v>
      </c>
      <c r="T164" s="18">
        <f t="shared" si="42"/>
      </c>
      <c r="U164" s="2"/>
    </row>
    <row r="165" spans="2:21" ht="15">
      <c r="B165" s="29"/>
      <c r="C165" s="39">
        <f t="shared" si="51"/>
        <v>2</v>
      </c>
      <c r="D165" s="143">
        <f t="shared" si="49"/>
        <v>7</v>
      </c>
      <c r="E165" s="160">
        <f t="shared" si="43"/>
        <v>399.6876812391266</v>
      </c>
      <c r="F165" s="55">
        <f t="shared" si="52"/>
        <v>775.2989356188735</v>
      </c>
      <c r="G165" s="37">
        <f t="shared" si="45"/>
        <v>3500</v>
      </c>
      <c r="H165" s="38">
        <f t="shared" si="50"/>
        <v>3400</v>
      </c>
      <c r="I165" s="141">
        <f t="shared" si="53"/>
        <v>30</v>
      </c>
      <c r="J165" s="66">
        <f t="shared" si="44"/>
        <v>28361.40381576041</v>
      </c>
      <c r="K165" s="45">
        <f t="shared" si="46"/>
        <v>28361.40381576041</v>
      </c>
      <c r="L165" s="74">
        <f t="shared" si="47"/>
        <v>55976.54658977368</v>
      </c>
      <c r="M165" s="152" t="str">
        <f t="shared" si="40"/>
        <v>Reserve £27,615</v>
      </c>
      <c r="N165" s="50"/>
      <c r="O165" s="2"/>
      <c r="P165" s="17">
        <f t="shared" si="41"/>
        <v>775.2989356188718</v>
      </c>
      <c r="Q165" s="11"/>
      <c r="R165" s="18">
        <f t="shared" si="39"/>
        <v>146</v>
      </c>
      <c r="S165" s="88">
        <f t="shared" si="48"/>
        <v>775.2989356188735</v>
      </c>
      <c r="T165" s="18">
        <f t="shared" si="42"/>
      </c>
      <c r="U165" s="2"/>
    </row>
    <row r="166" spans="2:21" ht="15">
      <c r="B166" s="29"/>
      <c r="C166" s="39">
        <f t="shared" si="51"/>
        <v>3</v>
      </c>
      <c r="D166" s="143">
        <f t="shared" si="49"/>
        <v>7</v>
      </c>
      <c r="E166" s="160">
        <f t="shared" si="43"/>
        <v>392.8174839394814</v>
      </c>
      <c r="F166" s="55">
        <f t="shared" si="52"/>
        <v>775.2989356188735</v>
      </c>
      <c r="G166" s="37">
        <f t="shared" si="45"/>
        <v>3500</v>
      </c>
      <c r="H166" s="38">
        <f t="shared" si="50"/>
        <v>3400</v>
      </c>
      <c r="I166" s="141">
        <f t="shared" si="53"/>
        <v>30</v>
      </c>
      <c r="J166" s="66">
        <f t="shared" si="44"/>
        <v>27631.129735733473</v>
      </c>
      <c r="K166" s="45">
        <f t="shared" si="46"/>
        <v>27631.129735733473</v>
      </c>
      <c r="L166" s="74">
        <f t="shared" si="47"/>
        <v>55527.777509261825</v>
      </c>
      <c r="M166" s="152" t="str">
        <f t="shared" si="40"/>
        <v>Reserve £27,897</v>
      </c>
      <c r="N166" s="50"/>
      <c r="O166" s="2"/>
      <c r="P166" s="17">
        <f t="shared" si="41"/>
        <v>775.2989356188716</v>
      </c>
      <c r="Q166" s="11"/>
      <c r="R166" s="18">
        <f t="shared" si="39"/>
        <v>147</v>
      </c>
      <c r="S166" s="88">
        <f t="shared" si="48"/>
        <v>775.2989356188735</v>
      </c>
      <c r="T166" s="18">
        <f t="shared" si="42"/>
      </c>
      <c r="U166" s="2"/>
    </row>
    <row r="167" spans="2:21" ht="15">
      <c r="B167" s="29"/>
      <c r="C167" s="39">
        <f t="shared" si="51"/>
        <v>4</v>
      </c>
      <c r="D167" s="143">
        <f t="shared" si="49"/>
        <v>7</v>
      </c>
      <c r="E167" s="160">
        <f t="shared" si="43"/>
        <v>385.7958383169207</v>
      </c>
      <c r="F167" s="55">
        <f t="shared" si="52"/>
        <v>775.2989356188735</v>
      </c>
      <c r="G167" s="37">
        <f t="shared" si="45"/>
        <v>3500</v>
      </c>
      <c r="H167" s="38">
        <f t="shared" si="50"/>
        <v>3400</v>
      </c>
      <c r="I167" s="141">
        <f t="shared" si="53"/>
        <v>30</v>
      </c>
      <c r="J167" s="66">
        <f t="shared" si="44"/>
        <v>26896.595723573046</v>
      </c>
      <c r="K167" s="45">
        <f t="shared" si="46"/>
        <v>26896.595723573046</v>
      </c>
      <c r="L167" s="74">
        <f t="shared" si="47"/>
        <v>55076.39060911365</v>
      </c>
      <c r="M167" s="152" t="str">
        <f t="shared" si="40"/>
        <v>Reserve £28,180</v>
      </c>
      <c r="N167" s="50"/>
      <c r="O167" s="2"/>
      <c r="P167" s="17">
        <f t="shared" si="41"/>
        <v>775.2989356188718</v>
      </c>
      <c r="Q167" s="11"/>
      <c r="R167" s="18">
        <f t="shared" si="39"/>
        <v>148</v>
      </c>
      <c r="S167" s="88">
        <f t="shared" si="48"/>
        <v>775.2989356188735</v>
      </c>
      <c r="T167" s="18">
        <f t="shared" si="42"/>
      </c>
      <c r="U167" s="2"/>
    </row>
    <row r="168" spans="2:21" ht="15">
      <c r="B168" s="29"/>
      <c r="C168" s="39">
        <f t="shared" si="51"/>
        <v>5</v>
      </c>
      <c r="D168" s="143">
        <f t="shared" si="49"/>
        <v>7</v>
      </c>
      <c r="E168" s="160">
        <f t="shared" si="43"/>
        <v>378.61780348414294</v>
      </c>
      <c r="F168" s="55">
        <f t="shared" si="52"/>
        <v>775.2989356188735</v>
      </c>
      <c r="G168" s="37">
        <f t="shared" si="45"/>
        <v>3500</v>
      </c>
      <c r="H168" s="38">
        <f t="shared" si="50"/>
        <v>3400</v>
      </c>
      <c r="I168" s="141">
        <f t="shared" si="53"/>
        <v>30</v>
      </c>
      <c r="J168" s="66">
        <f t="shared" si="44"/>
        <v>26157.776929675016</v>
      </c>
      <c r="K168" s="45">
        <f t="shared" si="46"/>
        <v>26157.776929675016</v>
      </c>
      <c r="L168" s="74">
        <f t="shared" si="47"/>
        <v>54622.370618714616</v>
      </c>
      <c r="M168" s="152" t="str">
        <f t="shared" si="40"/>
        <v>Reserve £28,465</v>
      </c>
      <c r="N168" s="50"/>
      <c r="O168" s="2"/>
      <c r="P168" s="17">
        <f t="shared" si="41"/>
        <v>775.298935618872</v>
      </c>
      <c r="Q168" s="11"/>
      <c r="R168" s="18">
        <f t="shared" si="39"/>
        <v>149</v>
      </c>
      <c r="S168" s="88">
        <f t="shared" si="48"/>
        <v>775.2989356188735</v>
      </c>
      <c r="T168" s="18">
        <f t="shared" si="42"/>
      </c>
      <c r="U168" s="2"/>
    </row>
    <row r="169" spans="2:21" ht="15">
      <c r="B169" s="29"/>
      <c r="C169" s="39">
        <f t="shared" si="51"/>
        <v>6</v>
      </c>
      <c r="D169" s="143">
        <f t="shared" si="49"/>
        <v>7</v>
      </c>
      <c r="E169" s="160">
        <f t="shared" si="43"/>
        <v>371.27822139569673</v>
      </c>
      <c r="F169" s="55">
        <f t="shared" si="52"/>
        <v>775.2989356188735</v>
      </c>
      <c r="G169" s="37">
        <f t="shared" si="45"/>
        <v>3500</v>
      </c>
      <c r="H169" s="38">
        <f t="shared" si="50"/>
        <v>3400</v>
      </c>
      <c r="I169" s="141">
        <f t="shared" si="53"/>
        <v>30</v>
      </c>
      <c r="J169" s="66">
        <f t="shared" si="44"/>
        <v>25414.648359479248</v>
      </c>
      <c r="K169" s="45">
        <f t="shared" si="46"/>
        <v>25414.648359479248</v>
      </c>
      <c r="L169" s="74">
        <f t="shared" si="47"/>
        <v>54165.70217837158</v>
      </c>
      <c r="M169" s="152" t="str">
        <f t="shared" si="40"/>
        <v>Reserve £28,751</v>
      </c>
      <c r="N169" s="50"/>
      <c r="O169" s="2"/>
      <c r="P169" s="17">
        <f t="shared" si="41"/>
        <v>775.2989356188721</v>
      </c>
      <c r="Q169" s="11"/>
      <c r="R169" s="18">
        <f t="shared" si="39"/>
        <v>150</v>
      </c>
      <c r="S169" s="88">
        <f t="shared" si="48"/>
        <v>775.2989356188735</v>
      </c>
      <c r="T169" s="18">
        <f t="shared" si="42"/>
      </c>
      <c r="U169" s="2"/>
    </row>
    <row r="170" spans="2:21" ht="15">
      <c r="B170" s="29"/>
      <c r="C170" s="39">
        <f t="shared" si="51"/>
        <v>7</v>
      </c>
      <c r="D170" s="143">
        <f t="shared" si="49"/>
        <v>7</v>
      </c>
      <c r="E170" s="160">
        <f t="shared" si="43"/>
        <v>363.77170478369584</v>
      </c>
      <c r="F170" s="55">
        <f t="shared" si="52"/>
        <v>775.2989356188735</v>
      </c>
      <c r="G170" s="37">
        <f t="shared" si="45"/>
        <v>3500</v>
      </c>
      <c r="H170" s="38">
        <f t="shared" si="50"/>
        <v>3400</v>
      </c>
      <c r="I170" s="141">
        <f t="shared" si="53"/>
        <v>30</v>
      </c>
      <c r="J170" s="66">
        <f t="shared" si="44"/>
        <v>24667.184872624002</v>
      </c>
      <c r="K170" s="45">
        <f t="shared" si="46"/>
        <v>24667.184872624002</v>
      </c>
      <c r="L170" s="74">
        <f t="shared" si="47"/>
        <v>53706.369838793216</v>
      </c>
      <c r="M170" s="152" t="str">
        <f t="shared" si="40"/>
        <v>Reserve £29,039</v>
      </c>
      <c r="N170" s="50"/>
      <c r="O170" s="2"/>
      <c r="P170" s="17">
        <f t="shared" si="41"/>
        <v>775.2989356188722</v>
      </c>
      <c r="Q170" s="11"/>
      <c r="R170" s="18">
        <f t="shared" si="39"/>
        <v>151</v>
      </c>
      <c r="S170" s="88">
        <f t="shared" si="48"/>
        <v>775.2989356188735</v>
      </c>
      <c r="T170" s="18">
        <f t="shared" si="42"/>
      </c>
      <c r="U170" s="2"/>
    </row>
    <row r="171" spans="2:21" ht="15">
      <c r="B171" s="29"/>
      <c r="C171" s="39">
        <f t="shared" si="51"/>
        <v>8</v>
      </c>
      <c r="D171" s="143">
        <f t="shared" si="49"/>
        <v>7</v>
      </c>
      <c r="E171" s="160">
        <f t="shared" si="43"/>
        <v>356.0926242802089</v>
      </c>
      <c r="F171" s="55">
        <f t="shared" si="52"/>
        <v>775.2989356188735</v>
      </c>
      <c r="G171" s="37">
        <f t="shared" si="45"/>
        <v>3500</v>
      </c>
      <c r="H171" s="38">
        <f t="shared" si="50"/>
        <v>3400</v>
      </c>
      <c r="I171" s="141">
        <f t="shared" si="53"/>
        <v>30</v>
      </c>
      <c r="J171" s="66">
        <f t="shared" si="44"/>
        <v>23915.361182095436</v>
      </c>
      <c r="K171" s="45">
        <f t="shared" si="46"/>
        <v>23915.361182095436</v>
      </c>
      <c r="L171" s="74">
        <f t="shared" si="47"/>
        <v>53244.358060567305</v>
      </c>
      <c r="M171" s="152" t="str">
        <f t="shared" si="40"/>
        <v>Reserve £29,329</v>
      </c>
      <c r="N171" s="50"/>
      <c r="O171" s="2"/>
      <c r="P171" s="17">
        <f t="shared" si="41"/>
        <v>775.2989356188722</v>
      </c>
      <c r="Q171" s="11"/>
      <c r="R171" s="18">
        <f t="shared" si="39"/>
        <v>152</v>
      </c>
      <c r="S171" s="88">
        <f t="shared" si="48"/>
        <v>775.2989356188735</v>
      </c>
      <c r="T171" s="18">
        <f t="shared" si="42"/>
      </c>
      <c r="U171" s="2"/>
    </row>
    <row r="172" spans="2:21" ht="15">
      <c r="B172" s="29"/>
      <c r="C172" s="39">
        <f t="shared" si="51"/>
        <v>9</v>
      </c>
      <c r="D172" s="143">
        <f t="shared" si="49"/>
        <v>7</v>
      </c>
      <c r="E172" s="160">
        <f t="shared" si="43"/>
        <v>348.235094661632</v>
      </c>
      <c r="F172" s="55">
        <f t="shared" si="52"/>
        <v>775.2989356188735</v>
      </c>
      <c r="G172" s="37">
        <f t="shared" si="45"/>
        <v>3500</v>
      </c>
      <c r="H172" s="38">
        <f t="shared" si="50"/>
        <v>3400</v>
      </c>
      <c r="I172" s="141">
        <f t="shared" si="53"/>
        <v>30</v>
      </c>
      <c r="J172" s="66">
        <f t="shared" si="44"/>
        <v>23159.15185337212</v>
      </c>
      <c r="K172" s="45">
        <f t="shared" si="46"/>
        <v>23159.15185337212</v>
      </c>
      <c r="L172" s="74">
        <f t="shared" si="47"/>
        <v>52779.65121363508</v>
      </c>
      <c r="M172" s="152" t="str">
        <f t="shared" si="40"/>
        <v>Reserve £29,620</v>
      </c>
      <c r="N172" s="50"/>
      <c r="O172" s="2"/>
      <c r="P172" s="17">
        <f t="shared" si="41"/>
        <v>775.2989356188722</v>
      </c>
      <c r="Q172" s="11"/>
      <c r="R172" s="18">
        <f aca="true" t="shared" si="54" ref="R172:R235">R171+1</f>
        <v>153</v>
      </c>
      <c r="S172" s="88">
        <f t="shared" si="48"/>
        <v>775.2989356188735</v>
      </c>
      <c r="T172" s="18">
        <f t="shared" si="42"/>
      </c>
      <c r="U172" s="2"/>
    </row>
    <row r="173" spans="2:21" ht="15">
      <c r="B173" s="29"/>
      <c r="C173" s="39">
        <f t="shared" si="51"/>
        <v>10</v>
      </c>
      <c r="D173" s="143">
        <f t="shared" si="49"/>
        <v>7</v>
      </c>
      <c r="E173" s="160">
        <f t="shared" si="43"/>
        <v>340.1929601443953</v>
      </c>
      <c r="F173" s="55">
        <f t="shared" si="52"/>
        <v>775.2989356188735</v>
      </c>
      <c r="G173" s="37">
        <f t="shared" si="45"/>
        <v>3500</v>
      </c>
      <c r="H173" s="38">
        <f t="shared" si="50"/>
        <v>3400</v>
      </c>
      <c r="I173" s="141">
        <f t="shared" si="53"/>
        <v>30</v>
      </c>
      <c r="J173" s="66">
        <f t="shared" si="44"/>
        <v>22398.531303564585</v>
      </c>
      <c r="K173" s="45">
        <f t="shared" si="46"/>
        <v>22398.531303564585</v>
      </c>
      <c r="L173" s="74">
        <f t="shared" si="47"/>
        <v>52312.23357676242</v>
      </c>
      <c r="M173" s="152" t="str">
        <f t="shared" si="40"/>
        <v>Reserve £29,914</v>
      </c>
      <c r="N173" s="50"/>
      <c r="O173" s="2"/>
      <c r="P173" s="17">
        <f t="shared" si="41"/>
        <v>775.2989356188724</v>
      </c>
      <c r="Q173" s="11"/>
      <c r="R173" s="18">
        <f t="shared" si="54"/>
        <v>154</v>
      </c>
      <c r="S173" s="88">
        <f t="shared" si="48"/>
        <v>775.2989356188735</v>
      </c>
      <c r="T173" s="18">
        <f t="shared" si="42"/>
      </c>
      <c r="U173" s="2"/>
    </row>
    <row r="174" spans="2:21" ht="15">
      <c r="B174" s="29"/>
      <c r="C174" s="39">
        <f t="shared" si="51"/>
        <v>11</v>
      </c>
      <c r="D174" s="143">
        <f t="shared" si="49"/>
        <v>7</v>
      </c>
      <c r="E174" s="160">
        <f t="shared" si="43"/>
        <v>331.9597786547879</v>
      </c>
      <c r="F174" s="55">
        <f t="shared" si="52"/>
        <v>775.2989356188735</v>
      </c>
      <c r="G174" s="37">
        <f t="shared" si="45"/>
        <v>3500</v>
      </c>
      <c r="H174" s="38">
        <f t="shared" si="50"/>
        <v>3400</v>
      </c>
      <c r="I174" s="141">
        <f t="shared" si="53"/>
        <v>30</v>
      </c>
      <c r="J174" s="66">
        <f t="shared" si="44"/>
        <v>21633.47380054984</v>
      </c>
      <c r="K174" s="45">
        <f t="shared" si="46"/>
        <v>21633.47380054984</v>
      </c>
      <c r="L174" s="74">
        <f t="shared" si="47"/>
        <v>51842.089337007994</v>
      </c>
      <c r="M174" s="152" t="str">
        <f t="shared" si="40"/>
        <v>Reserve £30,209</v>
      </c>
      <c r="N174" s="50"/>
      <c r="O174" s="2"/>
      <c r="P174" s="17">
        <f t="shared" si="41"/>
        <v>775.2989356188724</v>
      </c>
      <c r="Q174" s="11"/>
      <c r="R174" s="18">
        <f t="shared" si="54"/>
        <v>155</v>
      </c>
      <c r="S174" s="88">
        <f t="shared" si="48"/>
        <v>775.2989356188735</v>
      </c>
      <c r="T174" s="18">
        <f t="shared" si="42"/>
      </c>
      <c r="U174" s="2"/>
    </row>
    <row r="175" spans="2:21" ht="15">
      <c r="B175" s="77">
        <f>B164</f>
        <v>13</v>
      </c>
      <c r="C175" s="40">
        <f t="shared" si="51"/>
        <v>12</v>
      </c>
      <c r="D175" s="155">
        <f t="shared" si="49"/>
        <v>7</v>
      </c>
      <c r="E175" s="160">
        <f t="shared" si="43"/>
        <v>323.5288049884189</v>
      </c>
      <c r="F175" s="124">
        <f t="shared" si="52"/>
        <v>775.2989356188735</v>
      </c>
      <c r="G175" s="135">
        <f t="shared" si="45"/>
        <v>3500</v>
      </c>
      <c r="H175" s="134">
        <f t="shared" si="50"/>
        <v>3400</v>
      </c>
      <c r="I175" s="141">
        <f t="shared" si="53"/>
        <v>30</v>
      </c>
      <c r="J175" s="66">
        <f t="shared" si="44"/>
        <v>20863.953462100842</v>
      </c>
      <c r="K175" s="46">
        <f t="shared" si="46"/>
        <v>20863.953462100842</v>
      </c>
      <c r="L175" s="75">
        <f t="shared" si="47"/>
        <v>51369.20258918834</v>
      </c>
      <c r="M175" s="153" t="str">
        <f t="shared" si="40"/>
        <v>Reserve £30,505</v>
      </c>
      <c r="N175" s="51"/>
      <c r="O175" s="2"/>
      <c r="P175" s="19">
        <f t="shared" si="41"/>
        <v>775.2989356188723</v>
      </c>
      <c r="Q175" s="13"/>
      <c r="R175" s="20">
        <f t="shared" si="54"/>
        <v>156</v>
      </c>
      <c r="S175" s="89">
        <f t="shared" si="48"/>
        <v>775.2989356188735</v>
      </c>
      <c r="T175" s="133">
        <f t="shared" si="42"/>
      </c>
      <c r="U175" s="2"/>
    </row>
    <row r="176" spans="2:21" ht="15">
      <c r="B176" s="28">
        <f>B175+1</f>
        <v>14</v>
      </c>
      <c r="C176" s="147">
        <f t="shared" si="51"/>
        <v>1</v>
      </c>
      <c r="D176" s="142">
        <f t="shared" si="49"/>
        <v>7</v>
      </c>
      <c r="E176" s="159">
        <f t="shared" si="43"/>
        <v>314.89297276677974</v>
      </c>
      <c r="F176" s="56">
        <f>F175*(1+$F$10/100)</f>
        <v>775.2989356188735</v>
      </c>
      <c r="G176" s="37">
        <f t="shared" si="45"/>
        <v>3500</v>
      </c>
      <c r="H176" s="35">
        <f t="shared" si="50"/>
        <v>3400</v>
      </c>
      <c r="I176" s="140">
        <f t="shared" si="53"/>
        <v>30</v>
      </c>
      <c r="J176" s="65">
        <f t="shared" si="44"/>
        <v>20089.94425501089</v>
      </c>
      <c r="K176" s="44">
        <f t="shared" si="46"/>
        <v>20089.94425501089</v>
      </c>
      <c r="L176" s="73">
        <f t="shared" si="47"/>
        <v>50893.557335339734</v>
      </c>
      <c r="M176" s="151" t="str">
        <f t="shared" si="40"/>
        <v>Reserve £30,804</v>
      </c>
      <c r="N176" s="49"/>
      <c r="O176" s="3"/>
      <c r="P176" s="17">
        <f t="shared" si="41"/>
        <v>775.2989356188725</v>
      </c>
      <c r="Q176" s="11"/>
      <c r="R176" s="18">
        <f t="shared" si="54"/>
        <v>157</v>
      </c>
      <c r="S176" s="87">
        <f t="shared" si="48"/>
        <v>775.2989356188735</v>
      </c>
      <c r="T176" s="18">
        <f t="shared" si="42"/>
      </c>
      <c r="U176" s="2"/>
    </row>
    <row r="177" spans="2:21" ht="15">
      <c r="B177" s="29"/>
      <c r="C177" s="39">
        <f t="shared" si="51"/>
        <v>2</v>
      </c>
      <c r="D177" s="143">
        <f t="shared" si="49"/>
        <v>7</v>
      </c>
      <c r="E177" s="160">
        <f t="shared" si="43"/>
        <v>306.04487508946204</v>
      </c>
      <c r="F177" s="55">
        <f t="shared" si="52"/>
        <v>775.2989356188735</v>
      </c>
      <c r="G177" s="37">
        <f t="shared" si="45"/>
        <v>3500</v>
      </c>
      <c r="H177" s="38">
        <f t="shared" si="50"/>
        <v>3400</v>
      </c>
      <c r="I177" s="141">
        <f t="shared" si="53"/>
        <v>30</v>
      </c>
      <c r="J177" s="66">
        <f t="shared" si="44"/>
        <v>19311.419994212913</v>
      </c>
      <c r="K177" s="45">
        <f t="shared" si="46"/>
        <v>19311.419994212913</v>
      </c>
      <c r="L177" s="74">
        <f t="shared" si="47"/>
        <v>50415.137484177016</v>
      </c>
      <c r="M177" s="152" t="str">
        <f t="shared" si="40"/>
        <v>Reserve £31,104</v>
      </c>
      <c r="N177" s="50"/>
      <c r="O177" s="2"/>
      <c r="P177" s="17">
        <f t="shared" si="41"/>
        <v>775.2989356188724</v>
      </c>
      <c r="Q177" s="11"/>
      <c r="R177" s="18">
        <f t="shared" si="54"/>
        <v>158</v>
      </c>
      <c r="S177" s="88">
        <f t="shared" si="48"/>
        <v>775.2989356188735</v>
      </c>
      <c r="T177" s="18">
        <f t="shared" si="42"/>
      </c>
      <c r="U177" s="2"/>
    </row>
    <row r="178" spans="2:21" ht="15">
      <c r="B178" s="29"/>
      <c r="C178" s="39">
        <f t="shared" si="51"/>
        <v>3</v>
      </c>
      <c r="D178" s="143">
        <f t="shared" si="49"/>
        <v>7</v>
      </c>
      <c r="E178" s="160">
        <f t="shared" si="43"/>
        <v>296.9767437706849</v>
      </c>
      <c r="F178" s="55">
        <f t="shared" si="52"/>
        <v>775.2989356188735</v>
      </c>
      <c r="G178" s="37">
        <f t="shared" si="45"/>
        <v>3500</v>
      </c>
      <c r="H178" s="38">
        <f t="shared" si="50"/>
        <v>3400</v>
      </c>
      <c r="I178" s="141">
        <f t="shared" si="53"/>
        <v>30</v>
      </c>
      <c r="J178" s="66">
        <f t="shared" si="44"/>
        <v>18528.354341893617</v>
      </c>
      <c r="K178" s="45">
        <f t="shared" si="46"/>
        <v>18528.354341893617</v>
      </c>
      <c r="L178" s="74">
        <f t="shared" si="47"/>
        <v>49933.92685054918</v>
      </c>
      <c r="M178" s="152" t="str">
        <f t="shared" si="40"/>
        <v>Reserve £31,406</v>
      </c>
      <c r="N178" s="50"/>
      <c r="O178" s="2"/>
      <c r="P178" s="17">
        <f t="shared" si="41"/>
        <v>775.2989356188727</v>
      </c>
      <c r="Q178" s="11"/>
      <c r="R178" s="18">
        <f t="shared" si="54"/>
        <v>159</v>
      </c>
      <c r="S178" s="88">
        <f t="shared" si="48"/>
        <v>775.2989356188735</v>
      </c>
      <c r="T178" s="18">
        <f t="shared" si="42"/>
      </c>
      <c r="U178" s="2"/>
    </row>
    <row r="179" spans="2:21" ht="15">
      <c r="B179" s="29"/>
      <c r="C179" s="39">
        <f t="shared" si="51"/>
        <v>4</v>
      </c>
      <c r="D179" s="143">
        <f t="shared" si="49"/>
        <v>7</v>
      </c>
      <c r="E179" s="160">
        <f t="shared" si="43"/>
        <v>287.68042703778366</v>
      </c>
      <c r="F179" s="55">
        <f t="shared" si="52"/>
        <v>775.2989356188735</v>
      </c>
      <c r="G179" s="37">
        <f t="shared" si="45"/>
        <v>3500</v>
      </c>
      <c r="H179" s="38">
        <f t="shared" si="50"/>
        <v>3400</v>
      </c>
      <c r="I179" s="141">
        <f t="shared" si="53"/>
        <v>30</v>
      </c>
      <c r="J179" s="66">
        <f t="shared" si="44"/>
        <v>17740.720806602454</v>
      </c>
      <c r="K179" s="45">
        <f t="shared" si="46"/>
        <v>17740.720806602454</v>
      </c>
      <c r="L179" s="74">
        <f t="shared" si="47"/>
        <v>49449.909154891844</v>
      </c>
      <c r="M179" s="152" t="str">
        <f t="shared" si="40"/>
        <v>Reserve £31,709</v>
      </c>
      <c r="N179" s="50"/>
      <c r="O179" s="2"/>
      <c r="P179" s="17">
        <f t="shared" si="41"/>
        <v>775.2989356188726</v>
      </c>
      <c r="Q179" s="11"/>
      <c r="R179" s="18">
        <f t="shared" si="54"/>
        <v>160</v>
      </c>
      <c r="S179" s="88">
        <f t="shared" si="48"/>
        <v>775.2989356188735</v>
      </c>
      <c r="T179" s="18">
        <f t="shared" si="42"/>
      </c>
      <c r="U179" s="2"/>
    </row>
    <row r="180" spans="2:21" ht="15">
      <c r="B180" s="29"/>
      <c r="C180" s="39">
        <f t="shared" si="51"/>
        <v>5</v>
      </c>
      <c r="D180" s="143">
        <f t="shared" si="49"/>
        <v>7</v>
      </c>
      <c r="E180" s="160">
        <f t="shared" si="43"/>
        <v>278.1473655570876</v>
      </c>
      <c r="F180" s="55">
        <f t="shared" si="52"/>
        <v>775.2989356188735</v>
      </c>
      <c r="G180" s="37">
        <f t="shared" si="45"/>
        <v>3500</v>
      </c>
      <c r="H180" s="38">
        <f t="shared" si="50"/>
        <v>3400</v>
      </c>
      <c r="I180" s="141">
        <f t="shared" si="53"/>
        <v>30</v>
      </c>
      <c r="J180" s="66">
        <f t="shared" si="44"/>
        <v>16948.49274235543</v>
      </c>
      <c r="K180" s="45">
        <f t="shared" si="46"/>
        <v>16948.49274235543</v>
      </c>
      <c r="L180" s="74">
        <f t="shared" si="47"/>
        <v>48963.06802267651</v>
      </c>
      <c r="M180" s="152" t="str">
        <f t="shared" si="40"/>
        <v>Reserve £32,015</v>
      </c>
      <c r="N180" s="50"/>
      <c r="O180" s="2"/>
      <c r="P180" s="17">
        <f t="shared" si="41"/>
        <v>775.2989356188729</v>
      </c>
      <c r="Q180" s="11"/>
      <c r="R180" s="18">
        <f t="shared" si="54"/>
        <v>161</v>
      </c>
      <c r="S180" s="88">
        <f t="shared" si="48"/>
        <v>775.2989356188735</v>
      </c>
      <c r="T180" s="18">
        <f t="shared" si="42"/>
      </c>
      <c r="U180" s="2"/>
    </row>
    <row r="181" spans="2:21" ht="15">
      <c r="B181" s="29"/>
      <c r="C181" s="39">
        <f t="shared" si="51"/>
        <v>6</v>
      </c>
      <c r="D181" s="143">
        <f t="shared" si="49"/>
        <v>7</v>
      </c>
      <c r="E181" s="160">
        <f t="shared" si="43"/>
        <v>268.3685666389756</v>
      </c>
      <c r="F181" s="55">
        <f t="shared" si="52"/>
        <v>775.2989356188735</v>
      </c>
      <c r="G181" s="37">
        <f t="shared" si="45"/>
        <v>3500</v>
      </c>
      <c r="H181" s="38">
        <f t="shared" si="50"/>
        <v>3400</v>
      </c>
      <c r="I181" s="141">
        <f t="shared" si="53"/>
        <v>30</v>
      </c>
      <c r="J181" s="66">
        <f t="shared" si="44"/>
        <v>16151.643347733629</v>
      </c>
      <c r="K181" s="45">
        <f t="shared" si="46"/>
        <v>16151.643347733629</v>
      </c>
      <c r="L181" s="74">
        <f t="shared" si="47"/>
        <v>48473.38698385659</v>
      </c>
      <c r="M181" s="152" t="str">
        <f t="shared" si="40"/>
        <v>Reserve £32,322</v>
      </c>
      <c r="N181" s="50"/>
      <c r="O181" s="2"/>
      <c r="P181" s="17">
        <f t="shared" si="41"/>
        <v>775.298935618873</v>
      </c>
      <c r="Q181" s="11"/>
      <c r="R181" s="18">
        <f t="shared" si="54"/>
        <v>162</v>
      </c>
      <c r="S181" s="88">
        <f t="shared" si="48"/>
        <v>775.2989356188735</v>
      </c>
      <c r="T181" s="18">
        <f t="shared" si="42"/>
      </c>
      <c r="U181" s="2"/>
    </row>
    <row r="182" spans="2:21" ht="15">
      <c r="B182" s="29"/>
      <c r="C182" s="39">
        <f t="shared" si="51"/>
        <v>7</v>
      </c>
      <c r="D182" s="143">
        <f t="shared" si="49"/>
        <v>7</v>
      </c>
      <c r="E182" s="160">
        <f t="shared" si="43"/>
        <v>258.3345764587057</v>
      </c>
      <c r="F182" s="55">
        <f t="shared" si="52"/>
        <v>775.2989356188735</v>
      </c>
      <c r="G182" s="37">
        <f t="shared" si="45"/>
        <v>3500</v>
      </c>
      <c r="H182" s="38">
        <f t="shared" si="50"/>
        <v>3400</v>
      </c>
      <c r="I182" s="141">
        <f t="shared" si="53"/>
        <v>30</v>
      </c>
      <c r="J182" s="66">
        <f t="shared" si="44"/>
        <v>15350.145664976535</v>
      </c>
      <c r="K182" s="45">
        <f t="shared" si="46"/>
        <v>15350.145664976535</v>
      </c>
      <c r="L182" s="74">
        <f t="shared" si="47"/>
        <v>47980.84947231022</v>
      </c>
      <c r="M182" s="152" t="str">
        <f t="shared" si="40"/>
        <v>Reserve £32,631</v>
      </c>
      <c r="N182" s="50"/>
      <c r="O182" s="2"/>
      <c r="P182" s="17">
        <f t="shared" si="41"/>
        <v>775.2989356188727</v>
      </c>
      <c r="Q182" s="11"/>
      <c r="R182" s="18">
        <f t="shared" si="54"/>
        <v>163</v>
      </c>
      <c r="S182" s="88">
        <f t="shared" si="48"/>
        <v>775.2989356188735</v>
      </c>
      <c r="T182" s="18">
        <f t="shared" si="42"/>
      </c>
      <c r="U182" s="2"/>
    </row>
    <row r="183" spans="2:21" ht="15">
      <c r="B183" s="29"/>
      <c r="C183" s="39">
        <f t="shared" si="51"/>
        <v>8</v>
      </c>
      <c r="D183" s="143">
        <f t="shared" si="49"/>
        <v>7</v>
      </c>
      <c r="E183" s="160">
        <f t="shared" si="43"/>
        <v>248.0354501126332</v>
      </c>
      <c r="F183" s="55">
        <f t="shared" si="52"/>
        <v>775.2989356188735</v>
      </c>
      <c r="G183" s="37">
        <f t="shared" si="45"/>
        <v>3500</v>
      </c>
      <c r="H183" s="38">
        <f t="shared" si="50"/>
        <v>3400</v>
      </c>
      <c r="I183" s="141">
        <f t="shared" si="53"/>
        <v>30</v>
      </c>
      <c r="J183" s="66">
        <f t="shared" si="44"/>
        <v>14543.972579070025</v>
      </c>
      <c r="K183" s="45">
        <f t="shared" si="46"/>
        <v>14543.972579070025</v>
      </c>
      <c r="L183" s="74">
        <f t="shared" si="47"/>
        <v>47485.43882527982</v>
      </c>
      <c r="M183" s="152" t="str">
        <f t="shared" si="40"/>
        <v>Reserve £32,941</v>
      </c>
      <c r="N183" s="50"/>
      <c r="O183" s="2"/>
      <c r="P183" s="17">
        <f t="shared" si="41"/>
        <v>775.2989356188731</v>
      </c>
      <c r="Q183" s="11"/>
      <c r="R183" s="18">
        <f t="shared" si="54"/>
        <v>164</v>
      </c>
      <c r="S183" s="88">
        <f t="shared" si="48"/>
        <v>775.2989356188735</v>
      </c>
      <c r="T183" s="18">
        <f t="shared" si="42"/>
      </c>
      <c r="U183" s="2"/>
    </row>
    <row r="184" spans="2:21" ht="15">
      <c r="B184" s="29"/>
      <c r="C184" s="39">
        <f t="shared" si="51"/>
        <v>9</v>
      </c>
      <c r="D184" s="143">
        <f t="shared" si="49"/>
        <v>7</v>
      </c>
      <c r="E184" s="160">
        <f t="shared" si="43"/>
        <v>237.46071931044483</v>
      </c>
      <c r="F184" s="55">
        <f t="shared" si="52"/>
        <v>775.2989356188735</v>
      </c>
      <c r="G184" s="37">
        <f t="shared" si="45"/>
        <v>3500</v>
      </c>
      <c r="H184" s="38">
        <f t="shared" si="50"/>
        <v>3400</v>
      </c>
      <c r="I184" s="141">
        <f t="shared" si="53"/>
        <v>30</v>
      </c>
      <c r="J184" s="66">
        <f t="shared" si="44"/>
        <v>13733.09681682906</v>
      </c>
      <c r="K184" s="45">
        <f t="shared" si="46"/>
        <v>13733.09681682906</v>
      </c>
      <c r="L184" s="74">
        <f t="shared" si="47"/>
        <v>46987.13828280842</v>
      </c>
      <c r="M184" s="152" t="str">
        <f t="shared" si="40"/>
        <v>Reserve £33,254</v>
      </c>
      <c r="N184" s="50"/>
      <c r="O184" s="2"/>
      <c r="P184" s="17">
        <f t="shared" si="41"/>
        <v>775.2989356188733</v>
      </c>
      <c r="Q184" s="11"/>
      <c r="R184" s="18">
        <f t="shared" si="54"/>
        <v>165</v>
      </c>
      <c r="S184" s="88">
        <f t="shared" si="48"/>
        <v>775.2989356188735</v>
      </c>
      <c r="T184" s="18">
        <f t="shared" si="42"/>
      </c>
      <c r="U184" s="2"/>
    </row>
    <row r="185" spans="2:21" ht="15">
      <c r="B185" s="29"/>
      <c r="C185" s="39">
        <f t="shared" si="51"/>
        <v>10</v>
      </c>
      <c r="D185" s="143">
        <f t="shared" si="49"/>
        <v>7</v>
      </c>
      <c r="E185" s="160">
        <f t="shared" si="43"/>
        <v>226.59935748277115</v>
      </c>
      <c r="F185" s="55">
        <f t="shared" si="52"/>
        <v>775.2989356188735</v>
      </c>
      <c r="G185" s="37">
        <f t="shared" si="45"/>
        <v>3500</v>
      </c>
      <c r="H185" s="38">
        <f t="shared" si="50"/>
        <v>3400</v>
      </c>
      <c r="I185" s="141">
        <f t="shared" si="53"/>
        <v>30</v>
      </c>
      <c r="J185" s="66">
        <f t="shared" si="44"/>
        <v>12917.490945975023</v>
      </c>
      <c r="K185" s="45">
        <f t="shared" si="46"/>
        <v>12917.490945975023</v>
      </c>
      <c r="L185" s="74">
        <f t="shared" si="47"/>
        <v>46485.9309871726</v>
      </c>
      <c r="M185" s="152" t="str">
        <f t="shared" si="40"/>
        <v>Reserve £33,568</v>
      </c>
      <c r="N185" s="50"/>
      <c r="O185" s="2"/>
      <c r="P185" s="17">
        <f t="shared" si="41"/>
        <v>775.2989356188732</v>
      </c>
      <c r="Q185" s="11"/>
      <c r="R185" s="18">
        <f t="shared" si="54"/>
        <v>166</v>
      </c>
      <c r="S185" s="88">
        <f t="shared" si="48"/>
        <v>775.2989356188735</v>
      </c>
      <c r="T185" s="18">
        <f t="shared" si="42"/>
      </c>
      <c r="U185" s="2"/>
    </row>
    <row r="186" spans="2:21" ht="15">
      <c r="B186" s="29"/>
      <c r="C186" s="39">
        <f t="shared" si="51"/>
        <v>11</v>
      </c>
      <c r="D186" s="143">
        <f t="shared" si="49"/>
        <v>7</v>
      </c>
      <c r="E186" s="160">
        <f t="shared" si="43"/>
        <v>215.43974205968686</v>
      </c>
      <c r="F186" s="55">
        <f t="shared" si="52"/>
        <v>775.2989356188735</v>
      </c>
      <c r="G186" s="37">
        <f t="shared" si="45"/>
        <v>3500</v>
      </c>
      <c r="H186" s="38">
        <f t="shared" si="50"/>
        <v>3400</v>
      </c>
      <c r="I186" s="141">
        <f t="shared" si="53"/>
        <v>30</v>
      </c>
      <c r="J186" s="66">
        <f t="shared" si="44"/>
        <v>12097.12737420767</v>
      </c>
      <c r="K186" s="45">
        <f t="shared" si="46"/>
        <v>12097.12737420767</v>
      </c>
      <c r="L186" s="74">
        <f t="shared" si="47"/>
        <v>45981.79998231224</v>
      </c>
      <c r="M186" s="152" t="str">
        <f t="shared" si="40"/>
        <v>Reserve £33,885</v>
      </c>
      <c r="N186" s="50"/>
      <c r="O186" s="2"/>
      <c r="P186" s="17">
        <f t="shared" si="41"/>
        <v>775.2989356188734</v>
      </c>
      <c r="Q186" s="11"/>
      <c r="R186" s="18">
        <f t="shared" si="54"/>
        <v>167</v>
      </c>
      <c r="S186" s="88">
        <f t="shared" si="48"/>
        <v>775.2989356188735</v>
      </c>
      <c r="T186" s="18">
        <f t="shared" si="42"/>
      </c>
      <c r="U186" s="2"/>
    </row>
    <row r="187" spans="2:21" ht="15">
      <c r="B187" s="77">
        <f>B176</f>
        <v>14</v>
      </c>
      <c r="C187" s="40">
        <f t="shared" si="51"/>
        <v>12</v>
      </c>
      <c r="D187" s="155">
        <f t="shared" si="49"/>
        <v>7</v>
      </c>
      <c r="E187" s="160">
        <f t="shared" si="43"/>
        <v>203.96961364881125</v>
      </c>
      <c r="F187" s="124">
        <f t="shared" si="52"/>
        <v>775.2989356188735</v>
      </c>
      <c r="G187" s="135">
        <f t="shared" si="45"/>
        <v>3500</v>
      </c>
      <c r="H187" s="134">
        <f t="shared" si="50"/>
        <v>3400</v>
      </c>
      <c r="I187" s="141">
        <f t="shared" si="53"/>
        <v>30</v>
      </c>
      <c r="J187" s="66">
        <f t="shared" si="44"/>
        <v>11271.978348271674</v>
      </c>
      <c r="K187" s="46">
        <f t="shared" si="46"/>
        <v>11271.978348271674</v>
      </c>
      <c r="L187" s="75">
        <f t="shared" si="47"/>
        <v>45474.72821325686</v>
      </c>
      <c r="M187" s="153" t="str">
        <f t="shared" si="40"/>
        <v>Reserve £34,203</v>
      </c>
      <c r="N187" s="51"/>
      <c r="O187" s="2"/>
      <c r="P187" s="19">
        <f t="shared" si="41"/>
        <v>775.2989356188733</v>
      </c>
      <c r="Q187" s="13"/>
      <c r="R187" s="20">
        <f t="shared" si="54"/>
        <v>168</v>
      </c>
      <c r="S187" s="89">
        <f t="shared" si="48"/>
        <v>775.2989356188735</v>
      </c>
      <c r="T187" s="133">
        <f t="shared" si="42"/>
      </c>
      <c r="U187" s="2"/>
    </row>
    <row r="188" spans="2:21" ht="15">
      <c r="B188" s="28">
        <f>B187+1</f>
        <v>15</v>
      </c>
      <c r="C188" s="147">
        <f t="shared" si="51"/>
        <v>1</v>
      </c>
      <c r="D188" s="142">
        <f t="shared" si="49"/>
        <v>7</v>
      </c>
      <c r="E188" s="159">
        <f t="shared" si="43"/>
        <v>192.1760318115847</v>
      </c>
      <c r="F188" s="56">
        <f>F187*(1+$F$10/100)</f>
        <v>775.2989356188735</v>
      </c>
      <c r="G188" s="37">
        <f t="shared" si="45"/>
        <v>3500</v>
      </c>
      <c r="H188" s="35">
        <f t="shared" si="50"/>
        <v>3400</v>
      </c>
      <c r="I188" s="140">
        <f t="shared" si="53"/>
        <v>30</v>
      </c>
      <c r="J188" s="65">
        <f t="shared" si="44"/>
        <v>10442.015953017719</v>
      </c>
      <c r="K188" s="44">
        <f t="shared" si="46"/>
        <v>10442.015953017719</v>
      </c>
      <c r="L188" s="73">
        <f t="shared" si="47"/>
        <v>44964.69852554865</v>
      </c>
      <c r="M188" s="151" t="str">
        <f t="shared" si="40"/>
        <v>Reserve £34,523</v>
      </c>
      <c r="N188" s="49"/>
      <c r="O188" s="3"/>
      <c r="P188" s="17">
        <f t="shared" si="41"/>
        <v>775.2989356188735</v>
      </c>
      <c r="Q188" s="11"/>
      <c r="R188" s="18">
        <f t="shared" si="54"/>
        <v>169</v>
      </c>
      <c r="S188" s="87">
        <f t="shared" si="48"/>
        <v>775.2989356188735</v>
      </c>
      <c r="T188" s="18">
        <f t="shared" si="42"/>
      </c>
      <c r="U188" s="2"/>
    </row>
    <row r="189" spans="2:21" ht="15">
      <c r="B189" s="29"/>
      <c r="C189" s="39">
        <f t="shared" si="51"/>
        <v>2</v>
      </c>
      <c r="D189" s="143">
        <f t="shared" si="49"/>
        <v>7</v>
      </c>
      <c r="E189" s="160">
        <f t="shared" si="43"/>
        <v>180.04532710232726</v>
      </c>
      <c r="F189" s="55">
        <f t="shared" si="52"/>
        <v>775.2989356188735</v>
      </c>
      <c r="G189" s="37">
        <f t="shared" si="45"/>
        <v>3500</v>
      </c>
      <c r="H189" s="38">
        <f t="shared" si="50"/>
        <v>3400</v>
      </c>
      <c r="I189" s="141">
        <f t="shared" si="53"/>
        <v>30</v>
      </c>
      <c r="J189" s="66">
        <f t="shared" si="44"/>
        <v>9607.212110458117</v>
      </c>
      <c r="K189" s="45">
        <f t="shared" si="46"/>
        <v>9607.212110458117</v>
      </c>
      <c r="L189" s="74">
        <f t="shared" si="47"/>
        <v>44451.69366466214</v>
      </c>
      <c r="M189" s="152" t="str">
        <f t="shared" si="40"/>
        <v>Reserve £34,844</v>
      </c>
      <c r="N189" s="50"/>
      <c r="O189" s="2"/>
      <c r="P189" s="17">
        <f t="shared" si="41"/>
        <v>775.298935618874</v>
      </c>
      <c r="Q189" s="11"/>
      <c r="R189" s="18">
        <f t="shared" si="54"/>
        <v>170</v>
      </c>
      <c r="S189" s="88">
        <f t="shared" si="48"/>
        <v>775.2989356188735</v>
      </c>
      <c r="T189" s="18">
        <f t="shared" si="42"/>
      </c>
      <c r="U189" s="2"/>
    </row>
    <row r="190" spans="2:21" ht="15">
      <c r="B190" s="29"/>
      <c r="C190" s="39">
        <f t="shared" si="51"/>
        <v>3</v>
      </c>
      <c r="D190" s="143">
        <f t="shared" si="49"/>
        <v>7</v>
      </c>
      <c r="E190" s="160">
        <f t="shared" si="43"/>
        <v>167.56304899635916</v>
      </c>
      <c r="F190" s="55">
        <f t="shared" si="52"/>
        <v>775.2989356188735</v>
      </c>
      <c r="G190" s="37">
        <f t="shared" si="45"/>
        <v>3500</v>
      </c>
      <c r="H190" s="38">
        <f t="shared" si="50"/>
        <v>3400</v>
      </c>
      <c r="I190" s="141">
        <f t="shared" si="53"/>
        <v>30</v>
      </c>
      <c r="J190" s="66">
        <f t="shared" si="44"/>
        <v>8767.538578816915</v>
      </c>
      <c r="K190" s="45">
        <f t="shared" si="46"/>
        <v>8767.538578816915</v>
      </c>
      <c r="L190" s="74">
        <f t="shared" si="47"/>
        <v>43935.69627542046</v>
      </c>
      <c r="M190" s="152" t="str">
        <f t="shared" si="40"/>
        <v>Reserve £35,168</v>
      </c>
      <c r="N190" s="50"/>
      <c r="O190" s="2"/>
      <c r="P190" s="17">
        <f t="shared" si="41"/>
        <v>775.2989356188737</v>
      </c>
      <c r="Q190" s="11"/>
      <c r="R190" s="18">
        <f t="shared" si="54"/>
        <v>171</v>
      </c>
      <c r="S190" s="88">
        <f t="shared" si="48"/>
        <v>775.2989356188735</v>
      </c>
      <c r="T190" s="18">
        <f t="shared" si="42"/>
      </c>
      <c r="U190" s="2"/>
    </row>
    <row r="191" spans="2:21" ht="15">
      <c r="B191" s="29"/>
      <c r="C191" s="39">
        <f t="shared" si="51"/>
        <v>4</v>
      </c>
      <c r="D191" s="143">
        <f t="shared" si="49"/>
        <v>7</v>
      </c>
      <c r="E191" s="160">
        <f t="shared" si="43"/>
        <v>154.71390929013143</v>
      </c>
      <c r="F191" s="55">
        <f t="shared" si="52"/>
        <v>775.2989356188735</v>
      </c>
      <c r="G191" s="37">
        <f t="shared" si="45"/>
        <v>3500</v>
      </c>
      <c r="H191" s="38">
        <f t="shared" si="50"/>
        <v>3400</v>
      </c>
      <c r="I191" s="141">
        <f t="shared" si="53"/>
        <v>30</v>
      </c>
      <c r="J191" s="66">
        <f t="shared" si="44"/>
        <v>7922.966951574474</v>
      </c>
      <c r="K191" s="45">
        <f t="shared" si="46"/>
        <v>7922.966951574474</v>
      </c>
      <c r="L191" s="74">
        <f t="shared" si="47"/>
        <v>43416.68890140821</v>
      </c>
      <c r="M191" s="152" t="str">
        <f t="shared" si="40"/>
        <v>Reserve £35,494</v>
      </c>
      <c r="N191" s="50"/>
      <c r="O191" s="2"/>
      <c r="P191" s="17">
        <f t="shared" si="41"/>
        <v>775.2989356188737</v>
      </c>
      <c r="Q191" s="11"/>
      <c r="R191" s="18">
        <f t="shared" si="54"/>
        <v>172</v>
      </c>
      <c r="S191" s="88">
        <f t="shared" si="48"/>
        <v>775.2989356188735</v>
      </c>
      <c r="T191" s="18">
        <f t="shared" si="42"/>
      </c>
      <c r="U191" s="2"/>
    </row>
    <row r="192" spans="2:21" ht="15">
      <c r="B192" s="29"/>
      <c r="C192" s="39">
        <f t="shared" si="51"/>
        <v>5</v>
      </c>
      <c r="D192" s="143">
        <f t="shared" si="49"/>
        <v>7</v>
      </c>
      <c r="E192" s="160">
        <f t="shared" si="43"/>
        <v>141.4817205072487</v>
      </c>
      <c r="F192" s="55">
        <f t="shared" si="52"/>
        <v>775.2989356188735</v>
      </c>
      <c r="G192" s="37">
        <f t="shared" si="45"/>
        <v>3500</v>
      </c>
      <c r="H192" s="38">
        <f t="shared" si="50"/>
        <v>3400</v>
      </c>
      <c r="I192" s="141">
        <f t="shared" si="53"/>
        <v>30</v>
      </c>
      <c r="J192" s="66">
        <f t="shared" si="44"/>
        <v>7073.468656506451</v>
      </c>
      <c r="K192" s="45">
        <f t="shared" si="46"/>
        <v>7073.468656506451</v>
      </c>
      <c r="L192" s="74">
        <f t="shared" si="47"/>
        <v>42894.653984380886</v>
      </c>
      <c r="M192" s="152" t="str">
        <f t="shared" si="40"/>
        <v>Reserve £35,821</v>
      </c>
      <c r="N192" s="50"/>
      <c r="O192" s="2"/>
      <c r="P192" s="17">
        <f t="shared" si="41"/>
        <v>775.2989356188739</v>
      </c>
      <c r="Q192" s="11"/>
      <c r="R192" s="18">
        <f t="shared" si="54"/>
        <v>173</v>
      </c>
      <c r="S192" s="88">
        <f t="shared" si="48"/>
        <v>775.2989356188735</v>
      </c>
      <c r="T192" s="18">
        <f t="shared" si="42"/>
      </c>
      <c r="U192" s="2"/>
    </row>
    <row r="193" spans="2:21" ht="15">
      <c r="B193" s="29"/>
      <c r="C193" s="39">
        <f t="shared" si="51"/>
        <v>6</v>
      </c>
      <c r="D193" s="143">
        <f t="shared" si="49"/>
        <v>7</v>
      </c>
      <c r="E193" s="160">
        <f t="shared" si="43"/>
        <v>127.8493287886134</v>
      </c>
      <c r="F193" s="55">
        <f t="shared" si="52"/>
        <v>775.2989356188735</v>
      </c>
      <c r="G193" s="37">
        <f t="shared" si="45"/>
        <v>3500</v>
      </c>
      <c r="H193" s="38">
        <f t="shared" si="50"/>
        <v>3400</v>
      </c>
      <c r="I193" s="141">
        <f t="shared" si="53"/>
        <v>30</v>
      </c>
      <c r="J193" s="66">
        <f t="shared" si="44"/>
        <v>6219.014954717199</v>
      </c>
      <c r="K193" s="45">
        <f t="shared" si="46"/>
        <v>6219.014954717199</v>
      </c>
      <c r="L193" s="74">
        <f t="shared" si="47"/>
        <v>42369.5738636709</v>
      </c>
      <c r="M193" s="152" t="str">
        <f t="shared" si="40"/>
        <v>Reserve £36,151</v>
      </c>
      <c r="N193" s="50"/>
      <c r="O193" s="2"/>
      <c r="P193" s="17">
        <f t="shared" si="41"/>
        <v>775.2989356188739</v>
      </c>
      <c r="Q193" s="11"/>
      <c r="R193" s="18">
        <f t="shared" si="54"/>
        <v>174</v>
      </c>
      <c r="S193" s="88">
        <f t="shared" si="48"/>
        <v>775.2989356188735</v>
      </c>
      <c r="T193" s="18">
        <f t="shared" si="42"/>
      </c>
      <c r="U193" s="2"/>
    </row>
    <row r="194" spans="2:21" ht="15">
      <c r="B194" s="29"/>
      <c r="C194" s="39">
        <f t="shared" si="51"/>
        <v>7</v>
      </c>
      <c r="D194" s="143">
        <f t="shared" si="49"/>
        <v>7</v>
      </c>
      <c r="E194" s="160">
        <f t="shared" si="43"/>
        <v>113.79854068167305</v>
      </c>
      <c r="F194" s="55">
        <f t="shared" si="52"/>
        <v>775.2989356188735</v>
      </c>
      <c r="G194" s="37">
        <f t="shared" si="45"/>
        <v>3500</v>
      </c>
      <c r="H194" s="38">
        <f t="shared" si="50"/>
        <v>3400</v>
      </c>
      <c r="I194" s="141">
        <f t="shared" si="53"/>
        <v>30</v>
      </c>
      <c r="J194" s="66">
        <f t="shared" si="44"/>
        <v>5359.576939667509</v>
      </c>
      <c r="K194" s="45">
        <f t="shared" si="46"/>
        <v>5359.576939667509</v>
      </c>
      <c r="L194" s="74">
        <f t="shared" si="47"/>
        <v>41841.4307755901</v>
      </c>
      <c r="M194" s="152" t="str">
        <f t="shared" si="40"/>
        <v>Reserve £36,482</v>
      </c>
      <c r="N194" s="50"/>
      <c r="O194" s="2"/>
      <c r="P194" s="17">
        <f t="shared" si="41"/>
        <v>775.298935618874</v>
      </c>
      <c r="Q194" s="11"/>
      <c r="R194" s="18">
        <f t="shared" si="54"/>
        <v>175</v>
      </c>
      <c r="S194" s="88">
        <f t="shared" si="48"/>
        <v>775.2989356188735</v>
      </c>
      <c r="T194" s="18">
        <f t="shared" si="42"/>
      </c>
      <c r="U194" s="2"/>
    </row>
    <row r="195" spans="2:21" ht="15">
      <c r="B195" s="29"/>
      <c r="C195" s="39">
        <f t="shared" si="51"/>
        <v>8</v>
      </c>
      <c r="D195" s="143">
        <f t="shared" si="49"/>
        <v>7</v>
      </c>
      <c r="E195" s="160">
        <f t="shared" si="43"/>
        <v>99.31004317175092</v>
      </c>
      <c r="F195" s="55">
        <f t="shared" si="52"/>
        <v>775.2989356188735</v>
      </c>
      <c r="G195" s="37">
        <f t="shared" si="45"/>
        <v>3500</v>
      </c>
      <c r="H195" s="38">
        <f t="shared" si="50"/>
        <v>3400</v>
      </c>
      <c r="I195" s="141">
        <f t="shared" si="53"/>
        <v>30</v>
      </c>
      <c r="J195" s="66">
        <f t="shared" si="44"/>
        <v>4495.125536196696</v>
      </c>
      <c r="K195" s="45">
        <f t="shared" si="46"/>
        <v>4495.125536196696</v>
      </c>
      <c r="L195" s="74">
        <f t="shared" si="47"/>
        <v>41310.20685282884</v>
      </c>
      <c r="M195" s="152" t="str">
        <f t="shared" si="40"/>
        <v>Reserve £36,815</v>
      </c>
      <c r="N195" s="50"/>
      <c r="O195" s="2"/>
      <c r="P195" s="17">
        <f t="shared" si="41"/>
        <v>775.2989356188739</v>
      </c>
      <c r="Q195" s="11"/>
      <c r="R195" s="18">
        <f t="shared" si="54"/>
        <v>176</v>
      </c>
      <c r="S195" s="88">
        <f t="shared" si="48"/>
        <v>775.2989356188735</v>
      </c>
      <c r="T195" s="18">
        <f t="shared" si="42"/>
      </c>
      <c r="U195" s="2"/>
    </row>
    <row r="196" spans="2:21" ht="15">
      <c r="B196" s="29"/>
      <c r="C196" s="39">
        <f t="shared" si="51"/>
        <v>9</v>
      </c>
      <c r="D196" s="143">
        <f t="shared" si="49"/>
        <v>7</v>
      </c>
      <c r="E196" s="160">
        <f t="shared" si="43"/>
        <v>84.36331621631344</v>
      </c>
      <c r="F196" s="55">
        <f t="shared" si="52"/>
        <v>775.2989356188735</v>
      </c>
      <c r="G196" s="37">
        <f t="shared" si="45"/>
        <v>3500</v>
      </c>
      <c r="H196" s="38">
        <f t="shared" si="50"/>
        <v>3400</v>
      </c>
      <c r="I196" s="141">
        <f t="shared" si="53"/>
        <v>30</v>
      </c>
      <c r="J196" s="66">
        <f t="shared" si="44"/>
        <v>3625.63149953897</v>
      </c>
      <c r="K196" s="45">
        <f t="shared" si="46"/>
        <v>3625.63149953897</v>
      </c>
      <c r="L196" s="74">
        <f t="shared" si="47"/>
        <v>40775.884123851465</v>
      </c>
      <c r="M196" s="152" t="str">
        <f t="shared" si="40"/>
        <v>Reserve £37,150</v>
      </c>
      <c r="N196" s="50"/>
      <c r="O196" s="2"/>
      <c r="P196" s="17">
        <f t="shared" si="41"/>
        <v>775.2989356188738</v>
      </c>
      <c r="Q196" s="11"/>
      <c r="R196" s="18">
        <f t="shared" si="54"/>
        <v>177</v>
      </c>
      <c r="S196" s="88">
        <f t="shared" si="48"/>
        <v>775.2989356188735</v>
      </c>
      <c r="T196" s="18">
        <f t="shared" si="42"/>
      </c>
      <c r="U196" s="2"/>
    </row>
    <row r="197" spans="2:21" ht="15">
      <c r="B197" s="29"/>
      <c r="C197" s="39">
        <f t="shared" si="51"/>
        <v>10</v>
      </c>
      <c r="D197" s="143">
        <f t="shared" si="49"/>
        <v>7</v>
      </c>
      <c r="E197" s="160">
        <f t="shared" si="43"/>
        <v>68.93653694916667</v>
      </c>
      <c r="F197" s="55">
        <f t="shared" si="52"/>
        <v>775.2989356188735</v>
      </c>
      <c r="G197" s="37">
        <f t="shared" si="45"/>
        <v>3500</v>
      </c>
      <c r="H197" s="38">
        <f t="shared" si="50"/>
        <v>3400</v>
      </c>
      <c r="I197" s="141">
        <f t="shared" si="53"/>
        <v>30</v>
      </c>
      <c r="J197" s="66">
        <f t="shared" si="44"/>
        <v>2751.0654143340735</v>
      </c>
      <c r="K197" s="45">
        <f t="shared" si="46"/>
        <v>2751.0654143340735</v>
      </c>
      <c r="L197" s="74">
        <f t="shared" si="47"/>
        <v>40238.44451228839</v>
      </c>
      <c r="M197" s="152" t="str">
        <f t="shared" si="40"/>
        <v>Reserve £37,487</v>
      </c>
      <c r="N197" s="50"/>
      <c r="O197" s="2"/>
      <c r="P197" s="17">
        <f t="shared" si="41"/>
        <v>775.2989356188739</v>
      </c>
      <c r="Q197" s="11"/>
      <c r="R197" s="18">
        <f t="shared" si="54"/>
        <v>178</v>
      </c>
      <c r="S197" s="88">
        <f t="shared" si="48"/>
        <v>775.2989356188735</v>
      </c>
      <c r="T197" s="18">
        <f t="shared" si="42"/>
      </c>
      <c r="U197" s="2"/>
    </row>
    <row r="198" spans="2:21" ht="15">
      <c r="B198" s="29"/>
      <c r="C198" s="39">
        <f t="shared" si="51"/>
        <v>11</v>
      </c>
      <c r="D198" s="143">
        <f t="shared" si="49"/>
        <v>7</v>
      </c>
      <c r="E198" s="160">
        <f t="shared" si="43"/>
        <v>53.006474614090465</v>
      </c>
      <c r="F198" s="55">
        <f t="shared" si="52"/>
        <v>775.2989356188735</v>
      </c>
      <c r="G198" s="37">
        <f t="shared" si="45"/>
        <v>2751.0654143340735</v>
      </c>
      <c r="H198" s="38">
        <f t="shared" si="50"/>
        <v>0</v>
      </c>
      <c r="I198" s="141">
        <f t="shared" si="53"/>
        <v>30</v>
      </c>
      <c r="J198" s="66" t="str">
        <f t="shared" si="44"/>
        <v>Loan repaid</v>
      </c>
      <c r="K198" s="45">
        <f t="shared" si="46"/>
        <v>0</v>
      </c>
      <c r="L198" s="74">
        <f t="shared" si="47"/>
        <v>39697.869836324535</v>
      </c>
      <c r="M198" s="152" t="str">
        <f t="shared" si="40"/>
        <v>Final payment=£0.00</v>
      </c>
      <c r="N198" s="50"/>
      <c r="O198" s="2"/>
      <c r="P198" s="17">
        <f t="shared" si="41"/>
        <v>775.2989356188735</v>
      </c>
      <c r="Q198" s="11"/>
      <c r="R198" s="18">
        <f t="shared" si="54"/>
        <v>179</v>
      </c>
      <c r="S198" s="88">
        <f t="shared" si="48"/>
        <v>0</v>
      </c>
      <c r="T198" s="18">
        <f t="shared" si="42"/>
        <v>179</v>
      </c>
      <c r="U198" s="2"/>
    </row>
    <row r="199" spans="2:21" ht="15">
      <c r="B199" s="77">
        <f>B188</f>
        <v>15</v>
      </c>
      <c r="C199" s="40">
        <f t="shared" si="51"/>
        <v>12</v>
      </c>
      <c r="D199" s="155">
        <f t="shared" si="49"/>
        <v>7</v>
      </c>
      <c r="E199" s="160">
        <f t="shared" si="43"/>
        <v>0</v>
      </c>
      <c r="F199" s="124">
        <f t="shared" si="52"/>
        <v>775.2989356188735</v>
      </c>
      <c r="G199" s="135">
        <f t="shared" si="45"/>
        <v>0</v>
      </c>
      <c r="H199" s="134">
        <f t="shared" si="50"/>
        <v>0</v>
      </c>
      <c r="I199" s="141">
        <f t="shared" si="53"/>
        <v>30</v>
      </c>
      <c r="J199" s="66" t="str">
        <f t="shared" si="44"/>
        <v>Loan repaid</v>
      </c>
      <c r="K199" s="46">
        <f t="shared" si="46"/>
        <v>0</v>
      </c>
      <c r="L199" s="75">
        <f t="shared" si="47"/>
        <v>39154.14180808422</v>
      </c>
      <c r="M199" s="153" t="str">
        <f t="shared" si="40"/>
        <v>Reserve £39,154</v>
      </c>
      <c r="N199" s="51"/>
      <c r="O199" s="2"/>
      <c r="P199" s="19">
        <f t="shared" si="41"/>
        <v>775.2989356188739</v>
      </c>
      <c r="Q199" s="13"/>
      <c r="R199" s="20">
        <f t="shared" si="54"/>
        <v>180</v>
      </c>
      <c r="S199" s="89">
        <f t="shared" si="48"/>
        <v>0</v>
      </c>
      <c r="T199" s="133">
        <f t="shared" si="42"/>
        <v>180</v>
      </c>
      <c r="U199" s="2"/>
    </row>
    <row r="200" spans="2:21" ht="15">
      <c r="B200" s="28">
        <f>B199+1</f>
        <v>16</v>
      </c>
      <c r="C200" s="147">
        <f t="shared" si="51"/>
        <v>1</v>
      </c>
      <c r="D200" s="142">
        <f t="shared" si="49"/>
        <v>7</v>
      </c>
      <c r="E200" s="159">
        <f t="shared" si="43"/>
        <v>0</v>
      </c>
      <c r="F200" s="56">
        <f>F199*(1+$F$10/100)</f>
        <v>775.2989356188735</v>
      </c>
      <c r="G200" s="37">
        <f t="shared" si="45"/>
        <v>0</v>
      </c>
      <c r="H200" s="35">
        <f t="shared" si="50"/>
        <v>0</v>
      </c>
      <c r="I200" s="140">
        <f t="shared" si="53"/>
        <v>30</v>
      </c>
      <c r="J200" s="65" t="str">
        <f t="shared" si="44"/>
        <v>Loan repaid</v>
      </c>
      <c r="K200" s="44">
        <f t="shared" si="46"/>
        <v>0</v>
      </c>
      <c r="L200" s="73">
        <f t="shared" si="47"/>
        <v>38607.2420330125</v>
      </c>
      <c r="M200" s="151" t="str">
        <f t="shared" si="40"/>
        <v>Reserve £38,607</v>
      </c>
      <c r="N200" s="49"/>
      <c r="O200" s="3"/>
      <c r="P200" s="17">
        <f t="shared" si="41"/>
        <v>775.2989356188738</v>
      </c>
      <c r="Q200" s="11"/>
      <c r="R200" s="18">
        <f t="shared" si="54"/>
        <v>181</v>
      </c>
      <c r="S200" s="87">
        <f t="shared" si="48"/>
        <v>0</v>
      </c>
      <c r="T200" s="18">
        <f t="shared" si="42"/>
        <v>181</v>
      </c>
      <c r="U200" s="2"/>
    </row>
    <row r="201" spans="2:21" ht="15">
      <c r="B201" s="29"/>
      <c r="C201" s="39">
        <f t="shared" si="51"/>
        <v>2</v>
      </c>
      <c r="D201" s="143">
        <f t="shared" si="49"/>
        <v>7</v>
      </c>
      <c r="E201" s="160">
        <f t="shared" si="43"/>
        <v>0</v>
      </c>
      <c r="F201" s="55">
        <f t="shared" si="52"/>
        <v>775.2989356188735</v>
      </c>
      <c r="G201" s="37">
        <f t="shared" si="45"/>
        <v>0</v>
      </c>
      <c r="H201" s="38">
        <f t="shared" si="50"/>
        <v>0</v>
      </c>
      <c r="I201" s="141">
        <f t="shared" si="53"/>
        <v>30</v>
      </c>
      <c r="J201" s="66" t="str">
        <f t="shared" si="44"/>
        <v>Loan repaid</v>
      </c>
      <c r="K201" s="45">
        <f t="shared" si="46"/>
        <v>0</v>
      </c>
      <c r="L201" s="74">
        <f t="shared" si="47"/>
        <v>38057.152009252866</v>
      </c>
      <c r="M201" s="152" t="str">
        <f t="shared" si="40"/>
        <v>Reserve £38,057</v>
      </c>
      <c r="N201" s="50"/>
      <c r="O201" s="2"/>
      <c r="P201" s="17">
        <f t="shared" si="41"/>
        <v>775.2989356188737</v>
      </c>
      <c r="Q201" s="11"/>
      <c r="R201" s="18">
        <f t="shared" si="54"/>
        <v>182</v>
      </c>
      <c r="S201" s="88">
        <f t="shared" si="48"/>
        <v>0</v>
      </c>
      <c r="T201" s="18">
        <f t="shared" si="42"/>
        <v>182</v>
      </c>
      <c r="U201" s="2"/>
    </row>
    <row r="202" spans="2:21" ht="15">
      <c r="B202" s="29"/>
      <c r="C202" s="39">
        <f t="shared" si="51"/>
        <v>3</v>
      </c>
      <c r="D202" s="143">
        <f t="shared" si="49"/>
        <v>7</v>
      </c>
      <c r="E202" s="160">
        <f t="shared" si="43"/>
        <v>0</v>
      </c>
      <c r="F202" s="55">
        <f t="shared" si="52"/>
        <v>775.2989356188735</v>
      </c>
      <c r="G202" s="37">
        <f t="shared" si="45"/>
        <v>0</v>
      </c>
      <c r="H202" s="38">
        <f t="shared" si="50"/>
        <v>0</v>
      </c>
      <c r="I202" s="141">
        <f t="shared" si="53"/>
        <v>30</v>
      </c>
      <c r="J202" s="66" t="str">
        <f t="shared" si="44"/>
        <v>Loan repaid</v>
      </c>
      <c r="K202" s="45">
        <f t="shared" si="46"/>
        <v>0</v>
      </c>
      <c r="L202" s="74">
        <f t="shared" si="47"/>
        <v>37503.8531270213</v>
      </c>
      <c r="M202" s="152" t="str">
        <f t="shared" si="40"/>
        <v>Reserve £37,504</v>
      </c>
      <c r="N202" s="50"/>
      <c r="O202" s="2"/>
      <c r="P202" s="17">
        <f t="shared" si="41"/>
        <v>775.2989356188739</v>
      </c>
      <c r="Q202" s="11"/>
      <c r="R202" s="18">
        <f t="shared" si="54"/>
        <v>183</v>
      </c>
      <c r="S202" s="88">
        <f t="shared" si="48"/>
        <v>0</v>
      </c>
      <c r="T202" s="18">
        <f t="shared" si="42"/>
        <v>183</v>
      </c>
      <c r="U202" s="2"/>
    </row>
    <row r="203" spans="2:21" ht="15">
      <c r="B203" s="29"/>
      <c r="C203" s="39">
        <f t="shared" si="51"/>
        <v>4</v>
      </c>
      <c r="D203" s="143">
        <f t="shared" si="49"/>
        <v>7</v>
      </c>
      <c r="E203" s="160">
        <f t="shared" si="43"/>
        <v>0</v>
      </c>
      <c r="F203" s="55">
        <f t="shared" si="52"/>
        <v>775.2989356188735</v>
      </c>
      <c r="G203" s="37">
        <f t="shared" si="45"/>
        <v>0</v>
      </c>
      <c r="H203" s="38">
        <f t="shared" si="50"/>
        <v>0</v>
      </c>
      <c r="I203" s="141">
        <f t="shared" si="53"/>
        <v>30</v>
      </c>
      <c r="J203" s="66" t="str">
        <f t="shared" si="44"/>
        <v>Loan repaid</v>
      </c>
      <c r="K203" s="45">
        <f t="shared" si="46"/>
        <v>0</v>
      </c>
      <c r="L203" s="74">
        <f t="shared" si="47"/>
        <v>36947.32666797671</v>
      </c>
      <c r="M203" s="152" t="str">
        <f t="shared" si="40"/>
        <v>Reserve £36,947</v>
      </c>
      <c r="N203" s="50"/>
      <c r="O203" s="2"/>
      <c r="P203" s="17">
        <f t="shared" si="41"/>
        <v>775.2989356188737</v>
      </c>
      <c r="Q203" s="11"/>
      <c r="R203" s="18">
        <f t="shared" si="54"/>
        <v>184</v>
      </c>
      <c r="S203" s="88">
        <f t="shared" si="48"/>
        <v>0</v>
      </c>
      <c r="T203" s="18">
        <f t="shared" si="42"/>
        <v>184</v>
      </c>
      <c r="U203" s="2"/>
    </row>
    <row r="204" spans="2:21" ht="15">
      <c r="B204" s="29"/>
      <c r="C204" s="39">
        <f t="shared" si="51"/>
        <v>5</v>
      </c>
      <c r="D204" s="143">
        <f t="shared" si="49"/>
        <v>7</v>
      </c>
      <c r="E204" s="160">
        <f t="shared" si="43"/>
        <v>0</v>
      </c>
      <c r="F204" s="55">
        <f t="shared" si="52"/>
        <v>775.2989356188735</v>
      </c>
      <c r="G204" s="37">
        <f t="shared" si="45"/>
        <v>0</v>
      </c>
      <c r="H204" s="38">
        <f t="shared" si="50"/>
        <v>0</v>
      </c>
      <c r="I204" s="141">
        <f t="shared" si="53"/>
        <v>30</v>
      </c>
      <c r="J204" s="66" t="str">
        <f t="shared" si="44"/>
        <v>Loan repaid</v>
      </c>
      <c r="K204" s="45">
        <f t="shared" si="46"/>
        <v>0</v>
      </c>
      <c r="L204" s="74">
        <f t="shared" si="47"/>
        <v>36387.5538045877</v>
      </c>
      <c r="M204" s="152" t="str">
        <f t="shared" si="40"/>
        <v>Reserve £36,388</v>
      </c>
      <c r="N204" s="50"/>
      <c r="O204" s="2"/>
      <c r="P204" s="17">
        <f t="shared" si="41"/>
        <v>775.2989356188739</v>
      </c>
      <c r="Q204" s="11"/>
      <c r="R204" s="18">
        <f t="shared" si="54"/>
        <v>185</v>
      </c>
      <c r="S204" s="88">
        <f t="shared" si="48"/>
        <v>0</v>
      </c>
      <c r="T204" s="18">
        <f t="shared" si="42"/>
        <v>185</v>
      </c>
      <c r="U204" s="2"/>
    </row>
    <row r="205" spans="2:21" ht="15">
      <c r="B205" s="29"/>
      <c r="C205" s="39">
        <f t="shared" si="51"/>
        <v>6</v>
      </c>
      <c r="D205" s="143">
        <f t="shared" si="49"/>
        <v>7</v>
      </c>
      <c r="E205" s="160">
        <f t="shared" si="43"/>
        <v>0</v>
      </c>
      <c r="F205" s="55">
        <f t="shared" si="52"/>
        <v>775.2989356188735</v>
      </c>
      <c r="G205" s="37">
        <f t="shared" si="45"/>
        <v>0</v>
      </c>
      <c r="H205" s="38">
        <f t="shared" si="50"/>
        <v>0</v>
      </c>
      <c r="I205" s="141">
        <f t="shared" si="53"/>
        <v>30</v>
      </c>
      <c r="J205" s="66" t="str">
        <f t="shared" si="44"/>
        <v>Loan repaid</v>
      </c>
      <c r="K205" s="45">
        <f t="shared" si="46"/>
        <v>0</v>
      </c>
      <c r="L205" s="74">
        <f t="shared" si="47"/>
        <v>35824.51559949558</v>
      </c>
      <c r="M205" s="152" t="str">
        <f t="shared" si="40"/>
        <v>Reserve £35,825</v>
      </c>
      <c r="N205" s="50"/>
      <c r="O205" s="2"/>
      <c r="P205" s="17">
        <f t="shared" si="41"/>
        <v>775.2989356188738</v>
      </c>
      <c r="Q205" s="11"/>
      <c r="R205" s="18">
        <f t="shared" si="54"/>
        <v>186</v>
      </c>
      <c r="S205" s="88">
        <f t="shared" si="48"/>
        <v>0</v>
      </c>
      <c r="T205" s="18">
        <f t="shared" si="42"/>
        <v>186</v>
      </c>
      <c r="U205" s="2"/>
    </row>
    <row r="206" spans="2:21" ht="15">
      <c r="B206" s="29"/>
      <c r="C206" s="39">
        <f t="shared" si="51"/>
        <v>7</v>
      </c>
      <c r="D206" s="143">
        <f t="shared" si="49"/>
        <v>7</v>
      </c>
      <c r="E206" s="160">
        <f t="shared" si="43"/>
        <v>0</v>
      </c>
      <c r="F206" s="55">
        <f t="shared" si="52"/>
        <v>775.2989356188735</v>
      </c>
      <c r="G206" s="37">
        <f t="shared" si="45"/>
        <v>0</v>
      </c>
      <c r="H206" s="38">
        <f t="shared" si="50"/>
        <v>0</v>
      </c>
      <c r="I206" s="141">
        <f t="shared" si="53"/>
        <v>30</v>
      </c>
      <c r="J206" s="66" t="str">
        <f t="shared" si="44"/>
        <v>Loan repaid</v>
      </c>
      <c r="K206" s="45">
        <f t="shared" si="46"/>
        <v>0</v>
      </c>
      <c r="L206" s="74">
        <f t="shared" si="47"/>
        <v>35258.19300487377</v>
      </c>
      <c r="M206" s="152" t="str">
        <f t="shared" si="40"/>
        <v>Reserve £35,258</v>
      </c>
      <c r="N206" s="50"/>
      <c r="O206" s="2"/>
      <c r="P206" s="17">
        <f t="shared" si="41"/>
        <v>775.2989356188732</v>
      </c>
      <c r="Q206" s="11"/>
      <c r="R206" s="18">
        <f t="shared" si="54"/>
        <v>187</v>
      </c>
      <c r="S206" s="88">
        <f t="shared" si="48"/>
        <v>0</v>
      </c>
      <c r="T206" s="18">
        <f t="shared" si="42"/>
        <v>187</v>
      </c>
      <c r="U206" s="2"/>
    </row>
    <row r="207" spans="2:21" ht="15">
      <c r="B207" s="29"/>
      <c r="C207" s="39">
        <f t="shared" si="51"/>
        <v>8</v>
      </c>
      <c r="D207" s="143">
        <f t="shared" si="49"/>
        <v>7</v>
      </c>
      <c r="E207" s="160">
        <f t="shared" si="43"/>
        <v>0</v>
      </c>
      <c r="F207" s="55">
        <f t="shared" si="52"/>
        <v>775.2989356188735</v>
      </c>
      <c r="G207" s="37">
        <f t="shared" si="45"/>
        <v>0</v>
      </c>
      <c r="H207" s="38">
        <f t="shared" si="50"/>
        <v>0</v>
      </c>
      <c r="I207" s="141">
        <f t="shared" si="53"/>
        <v>30</v>
      </c>
      <c r="J207" s="66" t="str">
        <f t="shared" si="44"/>
        <v>Loan repaid</v>
      </c>
      <c r="K207" s="45">
        <f t="shared" si="46"/>
        <v>0</v>
      </c>
      <c r="L207" s="74">
        <f t="shared" si="47"/>
        <v>34688.56686178332</v>
      </c>
      <c r="M207" s="152" t="str">
        <f t="shared" si="40"/>
        <v>Reserve £34,689</v>
      </c>
      <c r="N207" s="50"/>
      <c r="O207" s="2"/>
      <c r="P207" s="17">
        <f t="shared" si="41"/>
        <v>775.2989356188738</v>
      </c>
      <c r="Q207" s="11"/>
      <c r="R207" s="18">
        <f t="shared" si="54"/>
        <v>188</v>
      </c>
      <c r="S207" s="88">
        <f t="shared" si="48"/>
        <v>0</v>
      </c>
      <c r="T207" s="18">
        <f t="shared" si="42"/>
        <v>188</v>
      </c>
      <c r="U207" s="2"/>
    </row>
    <row r="208" spans="2:21" ht="15">
      <c r="B208" s="29"/>
      <c r="C208" s="39">
        <f t="shared" si="51"/>
        <v>9</v>
      </c>
      <c r="D208" s="143">
        <f t="shared" si="49"/>
        <v>7</v>
      </c>
      <c r="E208" s="160">
        <f t="shared" si="43"/>
        <v>0</v>
      </c>
      <c r="F208" s="55">
        <f t="shared" si="52"/>
        <v>775.2989356188735</v>
      </c>
      <c r="G208" s="37">
        <f t="shared" si="45"/>
        <v>0</v>
      </c>
      <c r="H208" s="38">
        <f t="shared" si="50"/>
        <v>0</v>
      </c>
      <c r="I208" s="141">
        <f t="shared" si="53"/>
        <v>30</v>
      </c>
      <c r="J208" s="66" t="str">
        <f t="shared" si="44"/>
        <v>Loan repaid</v>
      </c>
      <c r="K208" s="45">
        <f t="shared" si="46"/>
        <v>0</v>
      </c>
      <c r="L208" s="74">
        <f t="shared" si="47"/>
        <v>34115.61789952485</v>
      </c>
      <c r="M208" s="152" t="str">
        <f aca="true" t="shared" si="55" ref="M208:M271">IF(R208=$T$320,"Final payment=£"&amp;FIXED(S208,2),IF(R208&gt;$F$8*12,"Loan terminated",IF(ROUND(K208,0)&gt;ROUND(L208,0),"£"&amp;FIXED(K208-L208,0)&amp;" short","Reserve £"&amp;FIXED(L208-K208,0))&amp;IF(G208&gt;K207," Credit too big","")))</f>
        <v>Reserve £34,116</v>
      </c>
      <c r="N208" s="50"/>
      <c r="O208" s="2"/>
      <c r="P208" s="17">
        <f t="shared" si="41"/>
        <v>775.2989356188739</v>
      </c>
      <c r="Q208" s="11"/>
      <c r="R208" s="18">
        <f t="shared" si="54"/>
        <v>189</v>
      </c>
      <c r="S208" s="88">
        <f t="shared" si="48"/>
        <v>0</v>
      </c>
      <c r="T208" s="18">
        <f t="shared" si="42"/>
        <v>189</v>
      </c>
      <c r="U208" s="2"/>
    </row>
    <row r="209" spans="2:21" ht="15">
      <c r="B209" s="29"/>
      <c r="C209" s="39">
        <f t="shared" si="51"/>
        <v>10</v>
      </c>
      <c r="D209" s="143">
        <f t="shared" si="49"/>
        <v>7</v>
      </c>
      <c r="E209" s="160">
        <f t="shared" si="43"/>
        <v>0</v>
      </c>
      <c r="F209" s="55">
        <f t="shared" si="52"/>
        <v>775.2989356188735</v>
      </c>
      <c r="G209" s="37">
        <f t="shared" si="45"/>
        <v>0</v>
      </c>
      <c r="H209" s="38">
        <f t="shared" si="50"/>
        <v>0</v>
      </c>
      <c r="I209" s="141">
        <f t="shared" si="53"/>
        <v>30</v>
      </c>
      <c r="J209" s="66" t="str">
        <f t="shared" si="44"/>
        <v>Loan repaid</v>
      </c>
      <c r="K209" s="45">
        <f t="shared" si="46"/>
        <v>0</v>
      </c>
      <c r="L209" s="74">
        <f t="shared" si="47"/>
        <v>33539.32673498654</v>
      </c>
      <c r="M209" s="152" t="str">
        <f t="shared" si="55"/>
        <v>Reserve £33,539</v>
      </c>
      <c r="N209" s="50"/>
      <c r="O209" s="2"/>
      <c r="P209" s="17">
        <f t="shared" si="41"/>
        <v>775.2989356188735</v>
      </c>
      <c r="Q209" s="11"/>
      <c r="R209" s="18">
        <f t="shared" si="54"/>
        <v>190</v>
      </c>
      <c r="S209" s="88">
        <f t="shared" si="48"/>
        <v>0</v>
      </c>
      <c r="T209" s="18">
        <f t="shared" si="42"/>
        <v>190</v>
      </c>
      <c r="U209" s="2"/>
    </row>
    <row r="210" spans="2:21" ht="15">
      <c r="B210" s="29"/>
      <c r="C210" s="39">
        <f t="shared" si="51"/>
        <v>11</v>
      </c>
      <c r="D210" s="143">
        <f t="shared" si="49"/>
        <v>7</v>
      </c>
      <c r="E210" s="160">
        <f t="shared" si="43"/>
        <v>0</v>
      </c>
      <c r="F210" s="55">
        <f t="shared" si="52"/>
        <v>775.2989356188735</v>
      </c>
      <c r="G210" s="37">
        <f t="shared" si="45"/>
        <v>0</v>
      </c>
      <c r="H210" s="38">
        <f t="shared" si="50"/>
        <v>0</v>
      </c>
      <c r="I210" s="141">
        <f t="shared" si="53"/>
        <v>30</v>
      </c>
      <c r="J210" s="66" t="str">
        <f t="shared" si="44"/>
        <v>Loan repaid</v>
      </c>
      <c r="K210" s="45">
        <f t="shared" si="46"/>
        <v>0</v>
      </c>
      <c r="L210" s="74">
        <f t="shared" si="47"/>
        <v>32959.67387198842</v>
      </c>
      <c r="M210" s="152" t="str">
        <f t="shared" si="55"/>
        <v>Reserve £32,960</v>
      </c>
      <c r="N210" s="50"/>
      <c r="O210" s="2"/>
      <c r="P210" s="17">
        <f t="shared" si="41"/>
        <v>775.2989356188738</v>
      </c>
      <c r="Q210" s="11"/>
      <c r="R210" s="18">
        <f t="shared" si="54"/>
        <v>191</v>
      </c>
      <c r="S210" s="88">
        <f t="shared" si="48"/>
        <v>0</v>
      </c>
      <c r="T210" s="18">
        <f t="shared" si="42"/>
        <v>191</v>
      </c>
      <c r="U210" s="2"/>
    </row>
    <row r="211" spans="2:21" ht="15">
      <c r="B211" s="77">
        <f>B200</f>
        <v>16</v>
      </c>
      <c r="C211" s="40">
        <f t="shared" si="51"/>
        <v>12</v>
      </c>
      <c r="D211" s="155">
        <f t="shared" si="49"/>
        <v>7</v>
      </c>
      <c r="E211" s="160">
        <f t="shared" si="43"/>
        <v>0</v>
      </c>
      <c r="F211" s="124">
        <f t="shared" si="52"/>
        <v>775.2989356188735</v>
      </c>
      <c r="G211" s="135">
        <f t="shared" si="45"/>
        <v>0</v>
      </c>
      <c r="H211" s="134">
        <f t="shared" si="50"/>
        <v>0</v>
      </c>
      <c r="I211" s="141">
        <f t="shared" si="53"/>
        <v>30</v>
      </c>
      <c r="J211" s="66" t="str">
        <f t="shared" si="44"/>
        <v>Loan repaid</v>
      </c>
      <c r="K211" s="46">
        <f t="shared" si="46"/>
        <v>0</v>
      </c>
      <c r="L211" s="75">
        <f t="shared" si="47"/>
        <v>32376.639700622818</v>
      </c>
      <c r="M211" s="153" t="str">
        <f t="shared" si="55"/>
        <v>Reserve £32,377</v>
      </c>
      <c r="N211" s="51"/>
      <c r="O211" s="2"/>
      <c r="P211" s="19">
        <f t="shared" si="41"/>
        <v>775.2989356188737</v>
      </c>
      <c r="Q211" s="13"/>
      <c r="R211" s="20">
        <f t="shared" si="54"/>
        <v>192</v>
      </c>
      <c r="S211" s="89">
        <f t="shared" si="48"/>
        <v>0</v>
      </c>
      <c r="T211" s="133">
        <f t="shared" si="42"/>
        <v>192</v>
      </c>
      <c r="U211" s="2"/>
    </row>
    <row r="212" spans="2:21" ht="15">
      <c r="B212" s="28">
        <f>B211+1</f>
        <v>17</v>
      </c>
      <c r="C212" s="147">
        <f t="shared" si="51"/>
        <v>1</v>
      </c>
      <c r="D212" s="142">
        <f t="shared" si="49"/>
        <v>7</v>
      </c>
      <c r="E212" s="159">
        <f t="shared" si="43"/>
        <v>0</v>
      </c>
      <c r="F212" s="56">
        <f>F211*(1+$F$10/100)</f>
        <v>775.2989356188735</v>
      </c>
      <c r="G212" s="37">
        <f t="shared" si="45"/>
        <v>0</v>
      </c>
      <c r="H212" s="35">
        <f t="shared" si="50"/>
        <v>0</v>
      </c>
      <c r="I212" s="140">
        <f t="shared" si="53"/>
        <v>30</v>
      </c>
      <c r="J212" s="65" t="str">
        <f t="shared" si="44"/>
        <v>Loan repaid</v>
      </c>
      <c r="K212" s="44">
        <f t="shared" si="46"/>
        <v>0</v>
      </c>
      <c r="L212" s="73">
        <f t="shared" si="47"/>
        <v>31790.20449659091</v>
      </c>
      <c r="M212" s="151" t="str">
        <f t="shared" si="55"/>
        <v>Reserve £31,790</v>
      </c>
      <c r="N212" s="49"/>
      <c r="O212" s="3"/>
      <c r="P212" s="17">
        <f aca="true" t="shared" si="56" ref="P212:P275">IF(R211&lt;F$8*12,PMT(D212/1200,F$8*12-R211,-L211,$A$9),0)</f>
        <v>775.2989356188742</v>
      </c>
      <c r="Q212" s="11"/>
      <c r="R212" s="18">
        <f t="shared" si="54"/>
        <v>193</v>
      </c>
      <c r="S212" s="87">
        <f t="shared" si="48"/>
        <v>0</v>
      </c>
      <c r="T212" s="18">
        <f aca="true" t="shared" si="57" ref="T212:T275">IF(F$9="r",IF(K212&gt;0.1,"",R212),IF(AND(K212&gt;0,R212&lt;$F$8*12),"",R212))</f>
        <v>193</v>
      </c>
      <c r="U212" s="2"/>
    </row>
    <row r="213" spans="2:21" ht="15">
      <c r="B213" s="29"/>
      <c r="C213" s="39">
        <f t="shared" si="51"/>
        <v>2</v>
      </c>
      <c r="D213" s="143">
        <f t="shared" si="49"/>
        <v>7</v>
      </c>
      <c r="E213" s="160">
        <f t="shared" si="43"/>
        <v>0</v>
      </c>
      <c r="F213" s="55">
        <f t="shared" si="52"/>
        <v>775.2989356188735</v>
      </c>
      <c r="G213" s="37">
        <f t="shared" si="45"/>
        <v>0</v>
      </c>
      <c r="H213" s="38">
        <f t="shared" si="50"/>
        <v>0</v>
      </c>
      <c r="I213" s="141">
        <f t="shared" si="53"/>
        <v>30</v>
      </c>
      <c r="J213" s="66" t="str">
        <f t="shared" si="44"/>
        <v>Loan repaid</v>
      </c>
      <c r="K213" s="45">
        <f t="shared" si="46"/>
        <v>0</v>
      </c>
      <c r="L213" s="74">
        <f t="shared" si="47"/>
        <v>31200.348420535487</v>
      </c>
      <c r="M213" s="152" t="str">
        <f t="shared" si="55"/>
        <v>Reserve £31,200</v>
      </c>
      <c r="N213" s="50"/>
      <c r="O213" s="2"/>
      <c r="P213" s="17">
        <f t="shared" si="56"/>
        <v>775.2989356188745</v>
      </c>
      <c r="Q213" s="11"/>
      <c r="R213" s="18">
        <f t="shared" si="54"/>
        <v>194</v>
      </c>
      <c r="S213" s="88">
        <f t="shared" si="48"/>
        <v>0</v>
      </c>
      <c r="T213" s="18">
        <f t="shared" si="57"/>
        <v>194</v>
      </c>
      <c r="U213" s="2"/>
    </row>
    <row r="214" spans="2:21" ht="15">
      <c r="B214" s="29"/>
      <c r="C214" s="39">
        <f t="shared" si="51"/>
        <v>3</v>
      </c>
      <c r="D214" s="143">
        <f t="shared" si="49"/>
        <v>7</v>
      </c>
      <c r="E214" s="160">
        <f aca="true" t="shared" si="58" ref="E214:E277">IF(F$8*12&gt;R213,MAX(PMT(D214/1200,F$8*12-R213,-K213,A$9)+IF(K213&gt;L213,(K213-L213),0),0),0)</f>
        <v>0</v>
      </c>
      <c r="F214" s="55">
        <f t="shared" si="52"/>
        <v>775.2989356188735</v>
      </c>
      <c r="G214" s="37">
        <f t="shared" si="45"/>
        <v>0</v>
      </c>
      <c r="H214" s="38">
        <f t="shared" si="50"/>
        <v>0</v>
      </c>
      <c r="I214" s="141">
        <f t="shared" si="53"/>
        <v>30</v>
      </c>
      <c r="J214" s="66" t="str">
        <f aca="true" t="shared" si="59" ref="J214:J277">IF(ROUND(IF(R214&gt;$F$8*12,0,K214),0)&gt;ROUND(L214,0),"Pmt too low!",IF(AND(K214&gt;1,R214&lt;=$F$8*12),K214,"Loan repaid"))</f>
        <v>Loan repaid</v>
      </c>
      <c r="K214" s="45">
        <f t="shared" si="46"/>
        <v>0</v>
      </c>
      <c r="L214" s="74">
        <f t="shared" si="47"/>
        <v>30607.05151736974</v>
      </c>
      <c r="M214" s="152" t="str">
        <f t="shared" si="55"/>
        <v>Reserve £30,607</v>
      </c>
      <c r="N214" s="50"/>
      <c r="O214" s="2"/>
      <c r="P214" s="17">
        <f t="shared" si="56"/>
        <v>775.298935618874</v>
      </c>
      <c r="Q214" s="11"/>
      <c r="R214" s="18">
        <f t="shared" si="54"/>
        <v>195</v>
      </c>
      <c r="S214" s="88">
        <f t="shared" si="48"/>
        <v>0</v>
      </c>
      <c r="T214" s="18">
        <f t="shared" si="57"/>
        <v>195</v>
      </c>
      <c r="U214" s="2"/>
    </row>
    <row r="215" spans="2:21" ht="15">
      <c r="B215" s="29"/>
      <c r="C215" s="39">
        <f t="shared" si="51"/>
        <v>4</v>
      </c>
      <c r="D215" s="143">
        <f t="shared" si="49"/>
        <v>7</v>
      </c>
      <c r="E215" s="160">
        <f t="shared" si="58"/>
        <v>0</v>
      </c>
      <c r="F215" s="55">
        <f t="shared" si="52"/>
        <v>775.2989356188735</v>
      </c>
      <c r="G215" s="37">
        <f t="shared" si="45"/>
        <v>0</v>
      </c>
      <c r="H215" s="38">
        <f t="shared" si="50"/>
        <v>0</v>
      </c>
      <c r="I215" s="141">
        <f t="shared" si="53"/>
        <v>30</v>
      </c>
      <c r="J215" s="66" t="str">
        <f t="shared" si="59"/>
        <v>Loan repaid</v>
      </c>
      <c r="K215" s="45">
        <f t="shared" si="46"/>
        <v>0</v>
      </c>
      <c r="L215" s="74">
        <f t="shared" si="47"/>
        <v>30010.29371560219</v>
      </c>
      <c r="M215" s="152" t="str">
        <f t="shared" si="55"/>
        <v>Reserve £30,010</v>
      </c>
      <c r="N215" s="50"/>
      <c r="O215" s="2"/>
      <c r="P215" s="17">
        <f t="shared" si="56"/>
        <v>775.2989356188739</v>
      </c>
      <c r="Q215" s="11"/>
      <c r="R215" s="18">
        <f t="shared" si="54"/>
        <v>196</v>
      </c>
      <c r="S215" s="88">
        <f t="shared" si="48"/>
        <v>0</v>
      </c>
      <c r="T215" s="18">
        <f t="shared" si="57"/>
        <v>196</v>
      </c>
      <c r="U215" s="2"/>
    </row>
    <row r="216" spans="2:21" ht="15">
      <c r="B216" s="29"/>
      <c r="C216" s="39">
        <f t="shared" si="51"/>
        <v>5</v>
      </c>
      <c r="D216" s="143">
        <f t="shared" si="49"/>
        <v>7</v>
      </c>
      <c r="E216" s="160">
        <f t="shared" si="58"/>
        <v>0</v>
      </c>
      <c r="F216" s="55">
        <f t="shared" si="52"/>
        <v>775.2989356188735</v>
      </c>
      <c r="G216" s="37">
        <f t="shared" si="45"/>
        <v>0</v>
      </c>
      <c r="H216" s="38">
        <f t="shared" si="50"/>
        <v>0</v>
      </c>
      <c r="I216" s="141">
        <f t="shared" si="53"/>
        <v>30</v>
      </c>
      <c r="J216" s="66" t="str">
        <f t="shared" si="59"/>
        <v>Loan repaid</v>
      </c>
      <c r="K216" s="45">
        <f t="shared" si="46"/>
        <v>0</v>
      </c>
      <c r="L216" s="74">
        <f t="shared" si="47"/>
        <v>29410.054826657662</v>
      </c>
      <c r="M216" s="152" t="str">
        <f t="shared" si="55"/>
        <v>Reserve £29,410</v>
      </c>
      <c r="N216" s="50"/>
      <c r="O216" s="2"/>
      <c r="P216" s="17">
        <f t="shared" si="56"/>
        <v>775.2989356188747</v>
      </c>
      <c r="Q216" s="11"/>
      <c r="R216" s="18">
        <f t="shared" si="54"/>
        <v>197</v>
      </c>
      <c r="S216" s="88">
        <f t="shared" si="48"/>
        <v>0</v>
      </c>
      <c r="T216" s="18">
        <f t="shared" si="57"/>
        <v>197</v>
      </c>
      <c r="U216" s="2"/>
    </row>
    <row r="217" spans="2:21" ht="15">
      <c r="B217" s="29"/>
      <c r="C217" s="39">
        <f t="shared" si="51"/>
        <v>6</v>
      </c>
      <c r="D217" s="143">
        <f t="shared" si="49"/>
        <v>7</v>
      </c>
      <c r="E217" s="160">
        <f t="shared" si="58"/>
        <v>0</v>
      </c>
      <c r="F217" s="55">
        <f t="shared" si="52"/>
        <v>775.2989356188735</v>
      </c>
      <c r="G217" s="37">
        <f t="shared" si="45"/>
        <v>0</v>
      </c>
      <c r="H217" s="38">
        <f t="shared" si="50"/>
        <v>0</v>
      </c>
      <c r="I217" s="141">
        <f t="shared" si="53"/>
        <v>30</v>
      </c>
      <c r="J217" s="66" t="str">
        <f t="shared" si="59"/>
        <v>Loan repaid</v>
      </c>
      <c r="K217" s="45">
        <f t="shared" si="46"/>
        <v>0</v>
      </c>
      <c r="L217" s="74">
        <f t="shared" si="47"/>
        <v>28806.314544194294</v>
      </c>
      <c r="M217" s="152" t="str">
        <f t="shared" si="55"/>
        <v>Reserve £28,806</v>
      </c>
      <c r="N217" s="50"/>
      <c r="O217" s="2"/>
      <c r="P217" s="17">
        <f t="shared" si="56"/>
        <v>775.2989356188746</v>
      </c>
      <c r="Q217" s="11"/>
      <c r="R217" s="18">
        <f t="shared" si="54"/>
        <v>198</v>
      </c>
      <c r="S217" s="88">
        <f t="shared" si="48"/>
        <v>0</v>
      </c>
      <c r="T217" s="18">
        <f t="shared" si="57"/>
        <v>198</v>
      </c>
      <c r="U217" s="2"/>
    </row>
    <row r="218" spans="2:21" ht="15">
      <c r="B218" s="29"/>
      <c r="C218" s="39">
        <f t="shared" si="51"/>
        <v>7</v>
      </c>
      <c r="D218" s="143">
        <f t="shared" si="49"/>
        <v>7</v>
      </c>
      <c r="E218" s="160">
        <f t="shared" si="58"/>
        <v>0</v>
      </c>
      <c r="F218" s="55">
        <f t="shared" si="52"/>
        <v>775.2989356188735</v>
      </c>
      <c r="G218" s="37">
        <f t="shared" si="45"/>
        <v>0</v>
      </c>
      <c r="H218" s="38">
        <f t="shared" si="50"/>
        <v>0</v>
      </c>
      <c r="I218" s="141">
        <f t="shared" si="53"/>
        <v>30</v>
      </c>
      <c r="J218" s="66" t="str">
        <f t="shared" si="59"/>
        <v>Loan repaid</v>
      </c>
      <c r="K218" s="45">
        <f t="shared" si="46"/>
        <v>0</v>
      </c>
      <c r="L218" s="74">
        <f t="shared" si="47"/>
        <v>28199.052443416556</v>
      </c>
      <c r="M218" s="152" t="str">
        <f t="shared" si="55"/>
        <v>Reserve £28,199</v>
      </c>
      <c r="N218" s="50"/>
      <c r="O218" s="2"/>
      <c r="P218" s="17">
        <f t="shared" si="56"/>
        <v>775.2989356188749</v>
      </c>
      <c r="Q218" s="11"/>
      <c r="R218" s="18">
        <f t="shared" si="54"/>
        <v>199</v>
      </c>
      <c r="S218" s="88">
        <f t="shared" si="48"/>
        <v>0</v>
      </c>
      <c r="T218" s="18">
        <f t="shared" si="57"/>
        <v>199</v>
      </c>
      <c r="U218" s="2"/>
    </row>
    <row r="219" spans="2:21" ht="15">
      <c r="B219" s="29"/>
      <c r="C219" s="39">
        <f t="shared" si="51"/>
        <v>8</v>
      </c>
      <c r="D219" s="143">
        <f t="shared" si="49"/>
        <v>7</v>
      </c>
      <c r="E219" s="160">
        <f t="shared" si="58"/>
        <v>0</v>
      </c>
      <c r="F219" s="55">
        <f t="shared" si="52"/>
        <v>775.2989356188735</v>
      </c>
      <c r="G219" s="37">
        <f t="shared" si="45"/>
        <v>0</v>
      </c>
      <c r="H219" s="38">
        <f t="shared" si="50"/>
        <v>0</v>
      </c>
      <c r="I219" s="141">
        <f t="shared" si="53"/>
        <v>30</v>
      </c>
      <c r="J219" s="66" t="str">
        <f t="shared" si="59"/>
        <v>Loan repaid</v>
      </c>
      <c r="K219" s="45">
        <f t="shared" si="46"/>
        <v>0</v>
      </c>
      <c r="L219" s="74">
        <f t="shared" si="47"/>
        <v>27588.24798038428</v>
      </c>
      <c r="M219" s="152" t="str">
        <f t="shared" si="55"/>
        <v>Reserve £27,588</v>
      </c>
      <c r="N219" s="50"/>
      <c r="O219" s="2"/>
      <c r="P219" s="17">
        <f t="shared" si="56"/>
        <v>775.2989356188746</v>
      </c>
      <c r="Q219" s="11"/>
      <c r="R219" s="18">
        <f t="shared" si="54"/>
        <v>200</v>
      </c>
      <c r="S219" s="88">
        <f t="shared" si="48"/>
        <v>0</v>
      </c>
      <c r="T219" s="18">
        <f t="shared" si="57"/>
        <v>200</v>
      </c>
      <c r="U219" s="2"/>
    </row>
    <row r="220" spans="2:21" ht="15">
      <c r="B220" s="29"/>
      <c r="C220" s="39">
        <f t="shared" si="51"/>
        <v>9</v>
      </c>
      <c r="D220" s="143">
        <f t="shared" si="49"/>
        <v>7</v>
      </c>
      <c r="E220" s="160">
        <f t="shared" si="58"/>
        <v>0</v>
      </c>
      <c r="F220" s="55">
        <f t="shared" si="52"/>
        <v>775.2989356188735</v>
      </c>
      <c r="G220" s="37">
        <f t="shared" si="45"/>
        <v>0</v>
      </c>
      <c r="H220" s="38">
        <f t="shared" si="50"/>
        <v>0</v>
      </c>
      <c r="I220" s="141">
        <f t="shared" si="53"/>
        <v>30</v>
      </c>
      <c r="J220" s="66" t="str">
        <f t="shared" si="59"/>
        <v>Loan repaid</v>
      </c>
      <c r="K220" s="45">
        <f t="shared" si="46"/>
        <v>0</v>
      </c>
      <c r="L220" s="74">
        <f t="shared" si="47"/>
        <v>26973.88049131765</v>
      </c>
      <c r="M220" s="152" t="str">
        <f t="shared" si="55"/>
        <v>Reserve £26,974</v>
      </c>
      <c r="N220" s="50"/>
      <c r="O220" s="2"/>
      <c r="P220" s="17">
        <f t="shared" si="56"/>
        <v>775.2989356188748</v>
      </c>
      <c r="Q220" s="11"/>
      <c r="R220" s="18">
        <f t="shared" si="54"/>
        <v>201</v>
      </c>
      <c r="S220" s="88">
        <f t="shared" si="48"/>
        <v>0</v>
      </c>
      <c r="T220" s="18">
        <f t="shared" si="57"/>
        <v>201</v>
      </c>
      <c r="U220" s="2"/>
    </row>
    <row r="221" spans="2:21" ht="15">
      <c r="B221" s="29"/>
      <c r="C221" s="39">
        <f t="shared" si="51"/>
        <v>10</v>
      </c>
      <c r="D221" s="143">
        <f t="shared" si="49"/>
        <v>7</v>
      </c>
      <c r="E221" s="160">
        <f t="shared" si="58"/>
        <v>0</v>
      </c>
      <c r="F221" s="55">
        <f t="shared" si="52"/>
        <v>775.2989356188735</v>
      </c>
      <c r="G221" s="37">
        <f aca="true" t="shared" si="60" ref="G221:G284">IF($F$8*12&lt;R221,0,MIN(G209,K220))</f>
        <v>0</v>
      </c>
      <c r="H221" s="38">
        <f t="shared" si="50"/>
        <v>0</v>
      </c>
      <c r="I221" s="141">
        <f t="shared" si="53"/>
        <v>30</v>
      </c>
      <c r="J221" s="66" t="str">
        <f t="shared" si="59"/>
        <v>Loan repaid</v>
      </c>
      <c r="K221" s="45">
        <f aca="true" t="shared" si="61" ref="K221:K284">IF(F$8*12&lt;R221,0,MAX((K220-G221)*(1+D221/1200)-F221+H221*(1-D221*(I221-30)/36000),0))</f>
        <v>0</v>
      </c>
      <c r="L221" s="74">
        <f aca="true" t="shared" si="62" ref="L221:L284">IF(F$8*12&lt;R221,0,L220*(1+D221/1200)-P221)</f>
        <v>26355.92919189813</v>
      </c>
      <c r="M221" s="152" t="str">
        <f t="shared" si="55"/>
        <v>Reserve £26,356</v>
      </c>
      <c r="N221" s="50"/>
      <c r="O221" s="2"/>
      <c r="P221" s="17">
        <f t="shared" si="56"/>
        <v>775.2989356188752</v>
      </c>
      <c r="Q221" s="11"/>
      <c r="R221" s="18">
        <f t="shared" si="54"/>
        <v>202</v>
      </c>
      <c r="S221" s="88">
        <f aca="true" t="shared" si="63" ref="S221:S284">IF(R221&gt;$F$8*12,0,IF(K221&gt;0,F221,(MAX(K220-G221,0))*(1+D221/1200)))</f>
        <v>0</v>
      </c>
      <c r="T221" s="18">
        <f t="shared" si="57"/>
        <v>202</v>
      </c>
      <c r="U221" s="2"/>
    </row>
    <row r="222" spans="2:21" ht="15">
      <c r="B222" s="29"/>
      <c r="C222" s="39">
        <f t="shared" si="51"/>
        <v>11</v>
      </c>
      <c r="D222" s="143">
        <f t="shared" si="49"/>
        <v>7</v>
      </c>
      <c r="E222" s="160">
        <f t="shared" si="58"/>
        <v>0</v>
      </c>
      <c r="F222" s="55">
        <f t="shared" si="52"/>
        <v>775.2989356188735</v>
      </c>
      <c r="G222" s="37">
        <f t="shared" si="60"/>
        <v>0</v>
      </c>
      <c r="H222" s="38">
        <f t="shared" si="50"/>
        <v>0</v>
      </c>
      <c r="I222" s="141">
        <f t="shared" si="53"/>
        <v>30</v>
      </c>
      <c r="J222" s="66" t="str">
        <f t="shared" si="59"/>
        <v>Loan repaid</v>
      </c>
      <c r="K222" s="45">
        <f t="shared" si="61"/>
        <v>0</v>
      </c>
      <c r="L222" s="74">
        <f t="shared" si="62"/>
        <v>25734.37317656533</v>
      </c>
      <c r="M222" s="152" t="str">
        <f t="shared" si="55"/>
        <v>Reserve £25,734</v>
      </c>
      <c r="N222" s="50"/>
      <c r="O222" s="2"/>
      <c r="P222" s="17">
        <f t="shared" si="56"/>
        <v>775.298935618875</v>
      </c>
      <c r="Q222" s="11"/>
      <c r="R222" s="18">
        <f t="shared" si="54"/>
        <v>203</v>
      </c>
      <c r="S222" s="88">
        <f t="shared" si="63"/>
        <v>0</v>
      </c>
      <c r="T222" s="18">
        <f t="shared" si="57"/>
        <v>203</v>
      </c>
      <c r="U222" s="2"/>
    </row>
    <row r="223" spans="2:21" ht="15">
      <c r="B223" s="77">
        <f>B212</f>
        <v>17</v>
      </c>
      <c r="C223" s="40">
        <f t="shared" si="51"/>
        <v>12</v>
      </c>
      <c r="D223" s="155">
        <f t="shared" si="49"/>
        <v>7</v>
      </c>
      <c r="E223" s="160">
        <f t="shared" si="58"/>
        <v>0</v>
      </c>
      <c r="F223" s="124">
        <f t="shared" si="52"/>
        <v>775.2989356188735</v>
      </c>
      <c r="G223" s="135">
        <f t="shared" si="60"/>
        <v>0</v>
      </c>
      <c r="H223" s="134">
        <f t="shared" si="50"/>
        <v>0</v>
      </c>
      <c r="I223" s="141">
        <f t="shared" si="53"/>
        <v>30</v>
      </c>
      <c r="J223" s="66" t="str">
        <f t="shared" si="59"/>
        <v>Loan repaid</v>
      </c>
      <c r="K223" s="46">
        <f t="shared" si="61"/>
        <v>0</v>
      </c>
      <c r="L223" s="75">
        <f t="shared" si="62"/>
        <v>25109.19141780975</v>
      </c>
      <c r="M223" s="153" t="str">
        <f t="shared" si="55"/>
        <v>Reserve £25,109</v>
      </c>
      <c r="N223" s="51"/>
      <c r="O223" s="2"/>
      <c r="P223" s="19">
        <f t="shared" si="56"/>
        <v>775.2989356188756</v>
      </c>
      <c r="Q223" s="13"/>
      <c r="R223" s="20">
        <f t="shared" si="54"/>
        <v>204</v>
      </c>
      <c r="S223" s="89">
        <f t="shared" si="63"/>
        <v>0</v>
      </c>
      <c r="T223" s="133">
        <f t="shared" si="57"/>
        <v>204</v>
      </c>
      <c r="U223" s="2"/>
    </row>
    <row r="224" spans="2:21" ht="15">
      <c r="B224" s="28">
        <f>B223+1</f>
        <v>18</v>
      </c>
      <c r="C224" s="147">
        <f t="shared" si="51"/>
        <v>1</v>
      </c>
      <c r="D224" s="142">
        <f aca="true" t="shared" si="64" ref="D224:D287">D223</f>
        <v>7</v>
      </c>
      <c r="E224" s="159">
        <f t="shared" si="58"/>
        <v>0</v>
      </c>
      <c r="F224" s="56">
        <f>F223*(1+$F$10/100)</f>
        <v>775.2989356188735</v>
      </c>
      <c r="G224" s="37">
        <f t="shared" si="60"/>
        <v>0</v>
      </c>
      <c r="H224" s="35">
        <f aca="true" t="shared" si="65" ref="H224:H287">IF($F$8*12&lt;R224,0,IF(G224=K223,0,H212))</f>
        <v>0</v>
      </c>
      <c r="I224" s="140">
        <f t="shared" si="53"/>
        <v>30</v>
      </c>
      <c r="J224" s="65" t="str">
        <f t="shared" si="59"/>
        <v>Loan repaid</v>
      </c>
      <c r="K224" s="44">
        <f t="shared" si="61"/>
        <v>0</v>
      </c>
      <c r="L224" s="73">
        <f t="shared" si="62"/>
        <v>24480.362765461432</v>
      </c>
      <c r="M224" s="151" t="str">
        <f t="shared" si="55"/>
        <v>Reserve £24,480</v>
      </c>
      <c r="N224" s="49"/>
      <c r="O224" s="3"/>
      <c r="P224" s="17">
        <f t="shared" si="56"/>
        <v>775.2989356188755</v>
      </c>
      <c r="Q224" s="11"/>
      <c r="R224" s="18">
        <f t="shared" si="54"/>
        <v>205</v>
      </c>
      <c r="S224" s="87">
        <f t="shared" si="63"/>
        <v>0</v>
      </c>
      <c r="T224" s="18">
        <f t="shared" si="57"/>
        <v>205</v>
      </c>
      <c r="U224" s="2"/>
    </row>
    <row r="225" spans="2:21" ht="15">
      <c r="B225" s="29"/>
      <c r="C225" s="39">
        <f aca="true" t="shared" si="66" ref="C225:C288">C213</f>
        <v>2</v>
      </c>
      <c r="D225" s="143">
        <f t="shared" si="64"/>
        <v>7</v>
      </c>
      <c r="E225" s="160">
        <f t="shared" si="58"/>
        <v>0</v>
      </c>
      <c r="F225" s="55">
        <f aca="true" t="shared" si="67" ref="F225:F288">F224</f>
        <v>775.2989356188735</v>
      </c>
      <c r="G225" s="37">
        <f t="shared" si="60"/>
        <v>0</v>
      </c>
      <c r="H225" s="38">
        <f t="shared" si="65"/>
        <v>0</v>
      </c>
      <c r="I225" s="141">
        <f t="shared" si="53"/>
        <v>30</v>
      </c>
      <c r="J225" s="66" t="str">
        <f t="shared" si="59"/>
        <v>Loan repaid</v>
      </c>
      <c r="K225" s="45">
        <f t="shared" si="61"/>
        <v>0</v>
      </c>
      <c r="L225" s="74">
        <f t="shared" si="62"/>
        <v>23847.865945974412</v>
      </c>
      <c r="M225" s="152" t="str">
        <f t="shared" si="55"/>
        <v>Reserve £23,848</v>
      </c>
      <c r="N225" s="50"/>
      <c r="O225" s="2"/>
      <c r="P225" s="17">
        <f t="shared" si="56"/>
        <v>775.2989356188757</v>
      </c>
      <c r="Q225" s="11"/>
      <c r="R225" s="18">
        <f t="shared" si="54"/>
        <v>206</v>
      </c>
      <c r="S225" s="88">
        <f t="shared" si="63"/>
        <v>0</v>
      </c>
      <c r="T225" s="18">
        <f t="shared" si="57"/>
        <v>206</v>
      </c>
      <c r="U225" s="2"/>
    </row>
    <row r="226" spans="2:21" ht="15">
      <c r="B226" s="29"/>
      <c r="C226" s="39">
        <f t="shared" si="66"/>
        <v>3</v>
      </c>
      <c r="D226" s="143">
        <f t="shared" si="64"/>
        <v>7</v>
      </c>
      <c r="E226" s="160">
        <f t="shared" si="58"/>
        <v>0</v>
      </c>
      <c r="F226" s="55">
        <f t="shared" si="67"/>
        <v>775.2989356188735</v>
      </c>
      <c r="G226" s="37">
        <f t="shared" si="60"/>
        <v>0</v>
      </c>
      <c r="H226" s="38">
        <f t="shared" si="65"/>
        <v>0</v>
      </c>
      <c r="I226" s="141">
        <f aca="true" t="shared" si="68" ref="I226:I289">I214</f>
        <v>30</v>
      </c>
      <c r="J226" s="66" t="str">
        <f t="shared" si="59"/>
        <v>Loan repaid</v>
      </c>
      <c r="K226" s="45">
        <f t="shared" si="61"/>
        <v>0</v>
      </c>
      <c r="L226" s="74">
        <f t="shared" si="62"/>
        <v>23211.679561707053</v>
      </c>
      <c r="M226" s="152" t="str">
        <f t="shared" si="55"/>
        <v>Reserve £23,212</v>
      </c>
      <c r="N226" s="50"/>
      <c r="O226" s="2"/>
      <c r="P226" s="17">
        <f t="shared" si="56"/>
        <v>775.2989356188755</v>
      </c>
      <c r="Q226" s="11"/>
      <c r="R226" s="18">
        <f t="shared" si="54"/>
        <v>207</v>
      </c>
      <c r="S226" s="88">
        <f t="shared" si="63"/>
        <v>0</v>
      </c>
      <c r="T226" s="18">
        <f t="shared" si="57"/>
        <v>207</v>
      </c>
      <c r="U226" s="2"/>
    </row>
    <row r="227" spans="2:21" ht="15">
      <c r="B227" s="29"/>
      <c r="C227" s="39">
        <f t="shared" si="66"/>
        <v>4</v>
      </c>
      <c r="D227" s="143">
        <f t="shared" si="64"/>
        <v>7</v>
      </c>
      <c r="E227" s="160">
        <f t="shared" si="58"/>
        <v>0</v>
      </c>
      <c r="F227" s="55">
        <f t="shared" si="67"/>
        <v>775.2989356188735</v>
      </c>
      <c r="G227" s="37">
        <f t="shared" si="60"/>
        <v>0</v>
      </c>
      <c r="H227" s="38">
        <f t="shared" si="65"/>
        <v>0</v>
      </c>
      <c r="I227" s="141">
        <f t="shared" si="68"/>
        <v>30</v>
      </c>
      <c r="J227" s="66" t="str">
        <f t="shared" si="59"/>
        <v>Loan repaid</v>
      </c>
      <c r="K227" s="45">
        <f t="shared" si="61"/>
        <v>0</v>
      </c>
      <c r="L227" s="74">
        <f t="shared" si="62"/>
        <v>22571.782090198132</v>
      </c>
      <c r="M227" s="152" t="str">
        <f t="shared" si="55"/>
        <v>Reserve £22,572</v>
      </c>
      <c r="N227" s="50"/>
      <c r="O227" s="2"/>
      <c r="P227" s="17">
        <f t="shared" si="56"/>
        <v>775.2989356188757</v>
      </c>
      <c r="Q227" s="11"/>
      <c r="R227" s="18">
        <f t="shared" si="54"/>
        <v>208</v>
      </c>
      <c r="S227" s="88">
        <f t="shared" si="63"/>
        <v>0</v>
      </c>
      <c r="T227" s="18">
        <f t="shared" si="57"/>
        <v>208</v>
      </c>
      <c r="U227" s="2"/>
    </row>
    <row r="228" spans="2:21" ht="15">
      <c r="B228" s="29"/>
      <c r="C228" s="39">
        <f t="shared" si="66"/>
        <v>5</v>
      </c>
      <c r="D228" s="143">
        <f t="shared" si="64"/>
        <v>7</v>
      </c>
      <c r="E228" s="160">
        <f t="shared" si="58"/>
        <v>0</v>
      </c>
      <c r="F228" s="55">
        <f t="shared" si="67"/>
        <v>775.2989356188735</v>
      </c>
      <c r="G228" s="37">
        <f t="shared" si="60"/>
        <v>0</v>
      </c>
      <c r="H228" s="38">
        <f t="shared" si="65"/>
        <v>0</v>
      </c>
      <c r="I228" s="141">
        <f t="shared" si="68"/>
        <v>30</v>
      </c>
      <c r="J228" s="66" t="str">
        <f t="shared" si="59"/>
        <v>Loan repaid</v>
      </c>
      <c r="K228" s="45">
        <f t="shared" si="61"/>
        <v>0</v>
      </c>
      <c r="L228" s="74">
        <f t="shared" si="62"/>
        <v>21928.151883438746</v>
      </c>
      <c r="M228" s="152" t="str">
        <f t="shared" si="55"/>
        <v>Reserve £21,928</v>
      </c>
      <c r="N228" s="50"/>
      <c r="O228" s="2"/>
      <c r="P228" s="17">
        <f t="shared" si="56"/>
        <v>775.2989356188756</v>
      </c>
      <c r="Q228" s="11"/>
      <c r="R228" s="18">
        <f t="shared" si="54"/>
        <v>209</v>
      </c>
      <c r="S228" s="88">
        <f t="shared" si="63"/>
        <v>0</v>
      </c>
      <c r="T228" s="18">
        <f t="shared" si="57"/>
        <v>209</v>
      </c>
      <c r="U228" s="2"/>
    </row>
    <row r="229" spans="2:21" ht="15">
      <c r="B229" s="29"/>
      <c r="C229" s="39">
        <f t="shared" si="66"/>
        <v>6</v>
      </c>
      <c r="D229" s="143">
        <f t="shared" si="64"/>
        <v>7</v>
      </c>
      <c r="E229" s="160">
        <f t="shared" si="58"/>
        <v>0</v>
      </c>
      <c r="F229" s="55">
        <f t="shared" si="67"/>
        <v>775.2989356188735</v>
      </c>
      <c r="G229" s="37">
        <f t="shared" si="60"/>
        <v>0</v>
      </c>
      <c r="H229" s="38">
        <f t="shared" si="65"/>
        <v>0</v>
      </c>
      <c r="I229" s="141">
        <f t="shared" si="68"/>
        <v>30</v>
      </c>
      <c r="J229" s="66" t="str">
        <f t="shared" si="59"/>
        <v>Loan repaid</v>
      </c>
      <c r="K229" s="45">
        <f t="shared" si="61"/>
        <v>0</v>
      </c>
      <c r="L229" s="74">
        <f t="shared" si="62"/>
        <v>21280.76716713993</v>
      </c>
      <c r="M229" s="152" t="str">
        <f t="shared" si="55"/>
        <v>Reserve £21,281</v>
      </c>
      <c r="N229" s="50"/>
      <c r="O229" s="2"/>
      <c r="P229" s="17">
        <f t="shared" si="56"/>
        <v>775.2989356188758</v>
      </c>
      <c r="Q229" s="11"/>
      <c r="R229" s="18">
        <f t="shared" si="54"/>
        <v>210</v>
      </c>
      <c r="S229" s="88">
        <f t="shared" si="63"/>
        <v>0</v>
      </c>
      <c r="T229" s="18">
        <f t="shared" si="57"/>
        <v>210</v>
      </c>
      <c r="U229" s="2"/>
    </row>
    <row r="230" spans="2:21" ht="15">
      <c r="B230" s="29"/>
      <c r="C230" s="39">
        <f t="shared" si="66"/>
        <v>7</v>
      </c>
      <c r="D230" s="143">
        <f t="shared" si="64"/>
        <v>7</v>
      </c>
      <c r="E230" s="160">
        <f t="shared" si="58"/>
        <v>0</v>
      </c>
      <c r="F230" s="55">
        <f t="shared" si="67"/>
        <v>775.2989356188735</v>
      </c>
      <c r="G230" s="37">
        <f t="shared" si="60"/>
        <v>0</v>
      </c>
      <c r="H230" s="38">
        <f t="shared" si="65"/>
        <v>0</v>
      </c>
      <c r="I230" s="141">
        <f t="shared" si="68"/>
        <v>30</v>
      </c>
      <c r="J230" s="66" t="str">
        <f t="shared" si="59"/>
        <v>Loan repaid</v>
      </c>
      <c r="K230" s="45">
        <f t="shared" si="61"/>
        <v>0</v>
      </c>
      <c r="L230" s="74">
        <f t="shared" si="62"/>
        <v>20629.60603999604</v>
      </c>
      <c r="M230" s="152" t="str">
        <f t="shared" si="55"/>
        <v>Reserve £20,630</v>
      </c>
      <c r="N230" s="50"/>
      <c r="O230" s="2"/>
      <c r="P230" s="17">
        <f t="shared" si="56"/>
        <v>775.2989356188752</v>
      </c>
      <c r="Q230" s="11"/>
      <c r="R230" s="18">
        <f t="shared" si="54"/>
        <v>211</v>
      </c>
      <c r="S230" s="88">
        <f t="shared" si="63"/>
        <v>0</v>
      </c>
      <c r="T230" s="18">
        <f t="shared" si="57"/>
        <v>211</v>
      </c>
      <c r="U230" s="2"/>
    </row>
    <row r="231" spans="2:21" ht="15">
      <c r="B231" s="29"/>
      <c r="C231" s="39">
        <f t="shared" si="66"/>
        <v>8</v>
      </c>
      <c r="D231" s="143">
        <f t="shared" si="64"/>
        <v>7</v>
      </c>
      <c r="E231" s="160">
        <f t="shared" si="58"/>
        <v>0</v>
      </c>
      <c r="F231" s="55">
        <f t="shared" si="67"/>
        <v>775.2989356188735</v>
      </c>
      <c r="G231" s="37">
        <f t="shared" si="60"/>
        <v>0</v>
      </c>
      <c r="H231" s="38">
        <f t="shared" si="65"/>
        <v>0</v>
      </c>
      <c r="I231" s="141">
        <f t="shared" si="68"/>
        <v>30</v>
      </c>
      <c r="J231" s="66" t="str">
        <f t="shared" si="59"/>
        <v>Loan repaid</v>
      </c>
      <c r="K231" s="45">
        <f t="shared" si="61"/>
        <v>0</v>
      </c>
      <c r="L231" s="74">
        <f t="shared" si="62"/>
        <v>19974.64647294381</v>
      </c>
      <c r="M231" s="152" t="str">
        <f t="shared" si="55"/>
        <v>Reserve £19,975</v>
      </c>
      <c r="N231" s="50"/>
      <c r="O231" s="2"/>
      <c r="P231" s="17">
        <f t="shared" si="56"/>
        <v>775.2989356188756</v>
      </c>
      <c r="Q231" s="11"/>
      <c r="R231" s="18">
        <f t="shared" si="54"/>
        <v>212</v>
      </c>
      <c r="S231" s="88">
        <f t="shared" si="63"/>
        <v>0</v>
      </c>
      <c r="T231" s="18">
        <f t="shared" si="57"/>
        <v>212</v>
      </c>
      <c r="U231" s="2"/>
    </row>
    <row r="232" spans="2:21" ht="15">
      <c r="B232" s="29"/>
      <c r="C232" s="39">
        <f t="shared" si="66"/>
        <v>9</v>
      </c>
      <c r="D232" s="143">
        <f t="shared" si="64"/>
        <v>7</v>
      </c>
      <c r="E232" s="160">
        <f t="shared" si="58"/>
        <v>0</v>
      </c>
      <c r="F232" s="55">
        <f t="shared" si="67"/>
        <v>775.2989356188735</v>
      </c>
      <c r="G232" s="37">
        <f t="shared" si="60"/>
        <v>0</v>
      </c>
      <c r="H232" s="38">
        <f t="shared" si="65"/>
        <v>0</v>
      </c>
      <c r="I232" s="141">
        <f t="shared" si="68"/>
        <v>30</v>
      </c>
      <c r="J232" s="66" t="str">
        <f t="shared" si="59"/>
        <v>Loan repaid</v>
      </c>
      <c r="K232" s="45">
        <f t="shared" si="61"/>
        <v>0</v>
      </c>
      <c r="L232" s="74">
        <f t="shared" si="62"/>
        <v>19315.866308417102</v>
      </c>
      <c r="M232" s="152" t="str">
        <f t="shared" si="55"/>
        <v>Reserve £19,316</v>
      </c>
      <c r="N232" s="50"/>
      <c r="O232" s="2"/>
      <c r="P232" s="17">
        <f t="shared" si="56"/>
        <v>775.2989356188757</v>
      </c>
      <c r="Q232" s="11"/>
      <c r="R232" s="18">
        <f t="shared" si="54"/>
        <v>213</v>
      </c>
      <c r="S232" s="88">
        <f t="shared" si="63"/>
        <v>0</v>
      </c>
      <c r="T232" s="18">
        <f t="shared" si="57"/>
        <v>213</v>
      </c>
      <c r="U232" s="2"/>
    </row>
    <row r="233" spans="2:21" ht="15">
      <c r="B233" s="29"/>
      <c r="C233" s="39">
        <f t="shared" si="66"/>
        <v>10</v>
      </c>
      <c r="D233" s="143">
        <f t="shared" si="64"/>
        <v>7</v>
      </c>
      <c r="E233" s="160">
        <f t="shared" si="58"/>
        <v>0</v>
      </c>
      <c r="F233" s="55">
        <f t="shared" si="67"/>
        <v>775.2989356188735</v>
      </c>
      <c r="G233" s="37">
        <f t="shared" si="60"/>
        <v>0</v>
      </c>
      <c r="H233" s="38">
        <f t="shared" si="65"/>
        <v>0</v>
      </c>
      <c r="I233" s="141">
        <f t="shared" si="68"/>
        <v>30</v>
      </c>
      <c r="J233" s="66" t="str">
        <f t="shared" si="59"/>
        <v>Loan repaid</v>
      </c>
      <c r="K233" s="45">
        <f t="shared" si="61"/>
        <v>0</v>
      </c>
      <c r="L233" s="74">
        <f t="shared" si="62"/>
        <v>18653.24325959733</v>
      </c>
      <c r="M233" s="152" t="str">
        <f t="shared" si="55"/>
        <v>Reserve £18,653</v>
      </c>
      <c r="N233" s="50"/>
      <c r="O233" s="2"/>
      <c r="P233" s="17">
        <f t="shared" si="56"/>
        <v>775.2989356188755</v>
      </c>
      <c r="Q233" s="11"/>
      <c r="R233" s="18">
        <f t="shared" si="54"/>
        <v>214</v>
      </c>
      <c r="S233" s="88">
        <f t="shared" si="63"/>
        <v>0</v>
      </c>
      <c r="T233" s="18">
        <f t="shared" si="57"/>
        <v>214</v>
      </c>
      <c r="U233" s="2"/>
    </row>
    <row r="234" spans="2:21" ht="15">
      <c r="B234" s="29"/>
      <c r="C234" s="39">
        <f t="shared" si="66"/>
        <v>11</v>
      </c>
      <c r="D234" s="143">
        <f t="shared" si="64"/>
        <v>7</v>
      </c>
      <c r="E234" s="160">
        <f t="shared" si="58"/>
        <v>0</v>
      </c>
      <c r="F234" s="55">
        <f t="shared" si="67"/>
        <v>775.2989356188735</v>
      </c>
      <c r="G234" s="37">
        <f t="shared" si="60"/>
        <v>0</v>
      </c>
      <c r="H234" s="38">
        <f t="shared" si="65"/>
        <v>0</v>
      </c>
      <c r="I234" s="141">
        <f t="shared" si="68"/>
        <v>30</v>
      </c>
      <c r="J234" s="66" t="str">
        <f t="shared" si="59"/>
        <v>Loan repaid</v>
      </c>
      <c r="K234" s="45">
        <f t="shared" si="61"/>
        <v>0</v>
      </c>
      <c r="L234" s="74">
        <f t="shared" si="62"/>
        <v>17986.754909659438</v>
      </c>
      <c r="M234" s="152" t="str">
        <f t="shared" si="55"/>
        <v>Reserve £17,987</v>
      </c>
      <c r="N234" s="50"/>
      <c r="O234" s="2"/>
      <c r="P234" s="17">
        <f t="shared" si="56"/>
        <v>775.2989356188762</v>
      </c>
      <c r="Q234" s="11"/>
      <c r="R234" s="18">
        <f t="shared" si="54"/>
        <v>215</v>
      </c>
      <c r="S234" s="88">
        <f t="shared" si="63"/>
        <v>0</v>
      </c>
      <c r="T234" s="18">
        <f t="shared" si="57"/>
        <v>215</v>
      </c>
      <c r="U234" s="2"/>
    </row>
    <row r="235" spans="2:21" ht="15">
      <c r="B235" s="77">
        <f>B224</f>
        <v>18</v>
      </c>
      <c r="C235" s="40">
        <f t="shared" si="66"/>
        <v>12</v>
      </c>
      <c r="D235" s="155">
        <f t="shared" si="64"/>
        <v>7</v>
      </c>
      <c r="E235" s="160">
        <f t="shared" si="58"/>
        <v>0</v>
      </c>
      <c r="F235" s="124">
        <f t="shared" si="67"/>
        <v>775.2989356188735</v>
      </c>
      <c r="G235" s="135">
        <f t="shared" si="60"/>
        <v>0</v>
      </c>
      <c r="H235" s="134">
        <f t="shared" si="65"/>
        <v>0</v>
      </c>
      <c r="I235" s="141">
        <f t="shared" si="68"/>
        <v>30</v>
      </c>
      <c r="J235" s="66" t="str">
        <f t="shared" si="59"/>
        <v>Loan repaid</v>
      </c>
      <c r="K235" s="46">
        <f t="shared" si="61"/>
        <v>0</v>
      </c>
      <c r="L235" s="75">
        <f t="shared" si="62"/>
        <v>17316.378711013575</v>
      </c>
      <c r="M235" s="153" t="str">
        <f t="shared" si="55"/>
        <v>Reserve £17,316</v>
      </c>
      <c r="N235" s="51"/>
      <c r="O235" s="2"/>
      <c r="P235" s="19">
        <f t="shared" si="56"/>
        <v>775.2989356188757</v>
      </c>
      <c r="Q235" s="13"/>
      <c r="R235" s="20">
        <f t="shared" si="54"/>
        <v>216</v>
      </c>
      <c r="S235" s="89">
        <f t="shared" si="63"/>
        <v>0</v>
      </c>
      <c r="T235" s="133">
        <f t="shared" si="57"/>
        <v>216</v>
      </c>
      <c r="U235" s="2"/>
    </row>
    <row r="236" spans="2:21" ht="15">
      <c r="B236" s="28">
        <f>B235+1</f>
        <v>19</v>
      </c>
      <c r="C236" s="147">
        <f t="shared" si="66"/>
        <v>1</v>
      </c>
      <c r="D236" s="142">
        <f t="shared" si="64"/>
        <v>7</v>
      </c>
      <c r="E236" s="159">
        <f t="shared" si="58"/>
        <v>0</v>
      </c>
      <c r="F236" s="56">
        <f>F235*(1+$F$10/100)</f>
        <v>775.2989356188735</v>
      </c>
      <c r="G236" s="37">
        <f t="shared" si="60"/>
        <v>0</v>
      </c>
      <c r="H236" s="35">
        <f t="shared" si="65"/>
        <v>0</v>
      </c>
      <c r="I236" s="140">
        <f t="shared" si="68"/>
        <v>30</v>
      </c>
      <c r="J236" s="65" t="str">
        <f t="shared" si="59"/>
        <v>Loan repaid</v>
      </c>
      <c r="K236" s="44">
        <f t="shared" si="61"/>
        <v>0</v>
      </c>
      <c r="L236" s="73">
        <f t="shared" si="62"/>
        <v>16642.091984542276</v>
      </c>
      <c r="M236" s="151" t="str">
        <f t="shared" si="55"/>
        <v>Reserve £16,642</v>
      </c>
      <c r="N236" s="49"/>
      <c r="O236" s="3"/>
      <c r="P236" s="17">
        <f t="shared" si="56"/>
        <v>775.2989356188763</v>
      </c>
      <c r="Q236" s="11"/>
      <c r="R236" s="18">
        <f aca="true" t="shared" si="69" ref="R236:R299">R235+1</f>
        <v>217</v>
      </c>
      <c r="S236" s="87">
        <f t="shared" si="63"/>
        <v>0</v>
      </c>
      <c r="T236" s="18">
        <f t="shared" si="57"/>
        <v>217</v>
      </c>
      <c r="U236" s="2"/>
    </row>
    <row r="237" spans="2:21" ht="15">
      <c r="B237" s="29"/>
      <c r="C237" s="39">
        <f t="shared" si="66"/>
        <v>2</v>
      </c>
      <c r="D237" s="143">
        <f t="shared" si="64"/>
        <v>7</v>
      </c>
      <c r="E237" s="160">
        <f t="shared" si="58"/>
        <v>0</v>
      </c>
      <c r="F237" s="55">
        <f t="shared" si="67"/>
        <v>775.2989356188735</v>
      </c>
      <c r="G237" s="37">
        <f t="shared" si="60"/>
        <v>0</v>
      </c>
      <c r="H237" s="38">
        <f t="shared" si="65"/>
        <v>0</v>
      </c>
      <c r="I237" s="141">
        <f t="shared" si="68"/>
        <v>30</v>
      </c>
      <c r="J237" s="66" t="str">
        <f t="shared" si="59"/>
        <v>Loan repaid</v>
      </c>
      <c r="K237" s="45">
        <f t="shared" si="61"/>
        <v>0</v>
      </c>
      <c r="L237" s="74">
        <f t="shared" si="62"/>
        <v>15963.87191883323</v>
      </c>
      <c r="M237" s="152" t="str">
        <f t="shared" si="55"/>
        <v>Reserve £15,964</v>
      </c>
      <c r="N237" s="50"/>
      <c r="O237" s="2"/>
      <c r="P237" s="17">
        <f t="shared" si="56"/>
        <v>775.2989356188763</v>
      </c>
      <c r="Q237" s="11"/>
      <c r="R237" s="18">
        <f t="shared" si="69"/>
        <v>218</v>
      </c>
      <c r="S237" s="88">
        <f t="shared" si="63"/>
        <v>0</v>
      </c>
      <c r="T237" s="18">
        <f t="shared" si="57"/>
        <v>218</v>
      </c>
      <c r="U237" s="2"/>
    </row>
    <row r="238" spans="2:21" ht="15">
      <c r="B238" s="29"/>
      <c r="C238" s="39">
        <f t="shared" si="66"/>
        <v>3</v>
      </c>
      <c r="D238" s="143">
        <f t="shared" si="64"/>
        <v>7</v>
      </c>
      <c r="E238" s="160">
        <f t="shared" si="58"/>
        <v>0</v>
      </c>
      <c r="F238" s="55">
        <f t="shared" si="67"/>
        <v>775.2989356188735</v>
      </c>
      <c r="G238" s="37">
        <f t="shared" si="60"/>
        <v>0</v>
      </c>
      <c r="H238" s="38">
        <f t="shared" si="65"/>
        <v>0</v>
      </c>
      <c r="I238" s="141">
        <f t="shared" si="68"/>
        <v>30</v>
      </c>
      <c r="J238" s="66" t="str">
        <f t="shared" si="59"/>
        <v>Loan repaid</v>
      </c>
      <c r="K238" s="45">
        <f t="shared" si="61"/>
        <v>0</v>
      </c>
      <c r="L238" s="74">
        <f t="shared" si="62"/>
        <v>15281.69556940755</v>
      </c>
      <c r="M238" s="152" t="str">
        <f t="shared" si="55"/>
        <v>Reserve £15,282</v>
      </c>
      <c r="N238" s="50"/>
      <c r="O238" s="2"/>
      <c r="P238" s="17">
        <f t="shared" si="56"/>
        <v>775.2989356188757</v>
      </c>
      <c r="Q238" s="11"/>
      <c r="R238" s="18">
        <f t="shared" si="69"/>
        <v>219</v>
      </c>
      <c r="S238" s="88">
        <f t="shared" si="63"/>
        <v>0</v>
      </c>
      <c r="T238" s="18">
        <f t="shared" si="57"/>
        <v>219</v>
      </c>
      <c r="U238" s="2"/>
    </row>
    <row r="239" spans="2:21" ht="15">
      <c r="B239" s="29"/>
      <c r="C239" s="39">
        <f t="shared" si="66"/>
        <v>4</v>
      </c>
      <c r="D239" s="143">
        <f t="shared" si="64"/>
        <v>7</v>
      </c>
      <c r="E239" s="160">
        <f t="shared" si="58"/>
        <v>0</v>
      </c>
      <c r="F239" s="55">
        <f t="shared" si="67"/>
        <v>775.2989356188735</v>
      </c>
      <c r="G239" s="37">
        <f t="shared" si="60"/>
        <v>0</v>
      </c>
      <c r="H239" s="38">
        <f t="shared" si="65"/>
        <v>0</v>
      </c>
      <c r="I239" s="141">
        <f t="shared" si="68"/>
        <v>30</v>
      </c>
      <c r="J239" s="66" t="str">
        <f t="shared" si="59"/>
        <v>Loan repaid</v>
      </c>
      <c r="K239" s="45">
        <f t="shared" si="61"/>
        <v>0</v>
      </c>
      <c r="L239" s="74">
        <f t="shared" si="62"/>
        <v>14595.539857943551</v>
      </c>
      <c r="M239" s="152" t="str">
        <f t="shared" si="55"/>
        <v>Reserve £14,596</v>
      </c>
      <c r="N239" s="50"/>
      <c r="O239" s="2"/>
      <c r="P239" s="17">
        <f t="shared" si="56"/>
        <v>775.2989356188759</v>
      </c>
      <c r="Q239" s="11"/>
      <c r="R239" s="18">
        <f t="shared" si="69"/>
        <v>220</v>
      </c>
      <c r="S239" s="88">
        <f t="shared" si="63"/>
        <v>0</v>
      </c>
      <c r="T239" s="18">
        <f t="shared" si="57"/>
        <v>220</v>
      </c>
      <c r="U239" s="2"/>
    </row>
    <row r="240" spans="2:21" ht="15">
      <c r="B240" s="29"/>
      <c r="C240" s="39">
        <f t="shared" si="66"/>
        <v>5</v>
      </c>
      <c r="D240" s="143">
        <f t="shared" si="64"/>
        <v>7</v>
      </c>
      <c r="E240" s="160">
        <f t="shared" si="58"/>
        <v>0</v>
      </c>
      <c r="F240" s="55">
        <f t="shared" si="67"/>
        <v>775.2989356188735</v>
      </c>
      <c r="G240" s="37">
        <f t="shared" si="60"/>
        <v>0</v>
      </c>
      <c r="H240" s="38">
        <f t="shared" si="65"/>
        <v>0</v>
      </c>
      <c r="I240" s="141">
        <f t="shared" si="68"/>
        <v>30</v>
      </c>
      <c r="J240" s="66" t="str">
        <f t="shared" si="59"/>
        <v>Loan repaid</v>
      </c>
      <c r="K240" s="45">
        <f t="shared" si="61"/>
        <v>0</v>
      </c>
      <c r="L240" s="74">
        <f t="shared" si="62"/>
        <v>13905.381571496011</v>
      </c>
      <c r="M240" s="152" t="str">
        <f t="shared" si="55"/>
        <v>Reserve £13,905</v>
      </c>
      <c r="N240" s="50"/>
      <c r="O240" s="2"/>
      <c r="P240" s="17">
        <f t="shared" si="56"/>
        <v>775.2989356188771</v>
      </c>
      <c r="Q240" s="11"/>
      <c r="R240" s="18">
        <f t="shared" si="69"/>
        <v>221</v>
      </c>
      <c r="S240" s="88">
        <f t="shared" si="63"/>
        <v>0</v>
      </c>
      <c r="T240" s="18">
        <f t="shared" si="57"/>
        <v>221</v>
      </c>
      <c r="U240" s="2"/>
    </row>
    <row r="241" spans="2:21" ht="15">
      <c r="B241" s="29"/>
      <c r="C241" s="39">
        <f t="shared" si="66"/>
        <v>6</v>
      </c>
      <c r="D241" s="143">
        <f t="shared" si="64"/>
        <v>7</v>
      </c>
      <c r="E241" s="160">
        <f t="shared" si="58"/>
        <v>0</v>
      </c>
      <c r="F241" s="55">
        <f t="shared" si="67"/>
        <v>775.2989356188735</v>
      </c>
      <c r="G241" s="37">
        <f t="shared" si="60"/>
        <v>0</v>
      </c>
      <c r="H241" s="38">
        <f t="shared" si="65"/>
        <v>0</v>
      </c>
      <c r="I241" s="141">
        <f t="shared" si="68"/>
        <v>30</v>
      </c>
      <c r="J241" s="66" t="str">
        <f t="shared" si="59"/>
        <v>Loan repaid</v>
      </c>
      <c r="K241" s="45">
        <f t="shared" si="61"/>
        <v>0</v>
      </c>
      <c r="L241" s="74">
        <f t="shared" si="62"/>
        <v>13211.197361710863</v>
      </c>
      <c r="M241" s="152" t="str">
        <f t="shared" si="55"/>
        <v>Reserve £13,211</v>
      </c>
      <c r="N241" s="50"/>
      <c r="O241" s="2"/>
      <c r="P241" s="17">
        <f t="shared" si="56"/>
        <v>775.2989356188762</v>
      </c>
      <c r="Q241" s="11"/>
      <c r="R241" s="18">
        <f t="shared" si="69"/>
        <v>222</v>
      </c>
      <c r="S241" s="88">
        <f t="shared" si="63"/>
        <v>0</v>
      </c>
      <c r="T241" s="18">
        <f t="shared" si="57"/>
        <v>222</v>
      </c>
      <c r="U241" s="2"/>
    </row>
    <row r="242" spans="2:21" ht="15">
      <c r="B242" s="29"/>
      <c r="C242" s="39">
        <f t="shared" si="66"/>
        <v>7</v>
      </c>
      <c r="D242" s="143">
        <f t="shared" si="64"/>
        <v>7</v>
      </c>
      <c r="E242" s="160">
        <f t="shared" si="58"/>
        <v>0</v>
      </c>
      <c r="F242" s="55">
        <f t="shared" si="67"/>
        <v>775.2989356188735</v>
      </c>
      <c r="G242" s="37">
        <f t="shared" si="60"/>
        <v>0</v>
      </c>
      <c r="H242" s="38">
        <f t="shared" si="65"/>
        <v>0</v>
      </c>
      <c r="I242" s="141">
        <f t="shared" si="68"/>
        <v>30</v>
      </c>
      <c r="J242" s="66" t="str">
        <f t="shared" si="59"/>
        <v>Loan repaid</v>
      </c>
      <c r="K242" s="45">
        <f t="shared" si="61"/>
        <v>0</v>
      </c>
      <c r="L242" s="74">
        <f t="shared" si="62"/>
        <v>12512.9637440353</v>
      </c>
      <c r="M242" s="152" t="str">
        <f t="shared" si="55"/>
        <v>Reserve £12,513</v>
      </c>
      <c r="N242" s="50"/>
      <c r="O242" s="2"/>
      <c r="P242" s="17">
        <f t="shared" si="56"/>
        <v>775.2989356188772</v>
      </c>
      <c r="Q242" s="11"/>
      <c r="R242" s="18">
        <f t="shared" si="69"/>
        <v>223</v>
      </c>
      <c r="S242" s="88">
        <f t="shared" si="63"/>
        <v>0</v>
      </c>
      <c r="T242" s="18">
        <f t="shared" si="57"/>
        <v>223</v>
      </c>
      <c r="U242" s="2"/>
    </row>
    <row r="243" spans="2:21" ht="15">
      <c r="B243" s="29"/>
      <c r="C243" s="39">
        <f t="shared" si="66"/>
        <v>8</v>
      </c>
      <c r="D243" s="143">
        <f t="shared" si="64"/>
        <v>7</v>
      </c>
      <c r="E243" s="160">
        <f t="shared" si="58"/>
        <v>0</v>
      </c>
      <c r="F243" s="55">
        <f t="shared" si="67"/>
        <v>775.2989356188735</v>
      </c>
      <c r="G243" s="37">
        <f t="shared" si="60"/>
        <v>0</v>
      </c>
      <c r="H243" s="38">
        <f t="shared" si="65"/>
        <v>0</v>
      </c>
      <c r="I243" s="141">
        <f t="shared" si="68"/>
        <v>30</v>
      </c>
      <c r="J243" s="66" t="str">
        <f t="shared" si="59"/>
        <v>Loan repaid</v>
      </c>
      <c r="K243" s="45">
        <f t="shared" si="61"/>
        <v>0</v>
      </c>
      <c r="L243" s="74">
        <f t="shared" si="62"/>
        <v>11810.657096923296</v>
      </c>
      <c r="M243" s="152" t="str">
        <f t="shared" si="55"/>
        <v>Reserve £11,811</v>
      </c>
      <c r="N243" s="50"/>
      <c r="O243" s="2"/>
      <c r="P243" s="17">
        <f t="shared" si="56"/>
        <v>775.2989356188767</v>
      </c>
      <c r="Q243" s="11"/>
      <c r="R243" s="18">
        <f t="shared" si="69"/>
        <v>224</v>
      </c>
      <c r="S243" s="88">
        <f t="shared" si="63"/>
        <v>0</v>
      </c>
      <c r="T243" s="18">
        <f t="shared" si="57"/>
        <v>224</v>
      </c>
      <c r="U243" s="2"/>
    </row>
    <row r="244" spans="2:21" ht="15">
      <c r="B244" s="29"/>
      <c r="C244" s="39">
        <f t="shared" si="66"/>
        <v>9</v>
      </c>
      <c r="D244" s="143">
        <f t="shared" si="64"/>
        <v>7</v>
      </c>
      <c r="E244" s="160">
        <f t="shared" si="58"/>
        <v>0</v>
      </c>
      <c r="F244" s="55">
        <f t="shared" si="67"/>
        <v>775.2989356188735</v>
      </c>
      <c r="G244" s="37">
        <f t="shared" si="60"/>
        <v>0</v>
      </c>
      <c r="H244" s="38">
        <f t="shared" si="65"/>
        <v>0</v>
      </c>
      <c r="I244" s="141">
        <f t="shared" si="68"/>
        <v>30</v>
      </c>
      <c r="J244" s="66" t="str">
        <f t="shared" si="59"/>
        <v>Loan repaid</v>
      </c>
      <c r="K244" s="45">
        <f t="shared" si="61"/>
        <v>0</v>
      </c>
      <c r="L244" s="74">
        <f t="shared" si="62"/>
        <v>11104.253661036471</v>
      </c>
      <c r="M244" s="152" t="str">
        <f t="shared" si="55"/>
        <v>Reserve £11,104</v>
      </c>
      <c r="N244" s="50"/>
      <c r="O244" s="2"/>
      <c r="P244" s="17">
        <f t="shared" si="56"/>
        <v>775.2989356188776</v>
      </c>
      <c r="Q244" s="11"/>
      <c r="R244" s="18">
        <f t="shared" si="69"/>
        <v>225</v>
      </c>
      <c r="S244" s="88">
        <f t="shared" si="63"/>
        <v>0</v>
      </c>
      <c r="T244" s="18">
        <f t="shared" si="57"/>
        <v>225</v>
      </c>
      <c r="U244" s="2"/>
    </row>
    <row r="245" spans="2:21" ht="15">
      <c r="B245" s="29"/>
      <c r="C245" s="39">
        <f t="shared" si="66"/>
        <v>10</v>
      </c>
      <c r="D245" s="143">
        <f t="shared" si="64"/>
        <v>7</v>
      </c>
      <c r="E245" s="160">
        <f t="shared" si="58"/>
        <v>0</v>
      </c>
      <c r="F245" s="55">
        <f t="shared" si="67"/>
        <v>775.2989356188735</v>
      </c>
      <c r="G245" s="37">
        <f t="shared" si="60"/>
        <v>0</v>
      </c>
      <c r="H245" s="38">
        <f t="shared" si="65"/>
        <v>0</v>
      </c>
      <c r="I245" s="141">
        <f t="shared" si="68"/>
        <v>30</v>
      </c>
      <c r="J245" s="66" t="str">
        <f t="shared" si="59"/>
        <v>Loan repaid</v>
      </c>
      <c r="K245" s="45">
        <f t="shared" si="61"/>
        <v>0</v>
      </c>
      <c r="L245" s="74">
        <f t="shared" si="62"/>
        <v>10393.729538440306</v>
      </c>
      <c r="M245" s="152" t="str">
        <f t="shared" si="55"/>
        <v>Reserve £10,394</v>
      </c>
      <c r="N245" s="50"/>
      <c r="O245" s="2"/>
      <c r="P245" s="17">
        <f t="shared" si="56"/>
        <v>775.2989356188784</v>
      </c>
      <c r="Q245" s="11"/>
      <c r="R245" s="18">
        <f t="shared" si="69"/>
        <v>226</v>
      </c>
      <c r="S245" s="88">
        <f t="shared" si="63"/>
        <v>0</v>
      </c>
      <c r="T245" s="18">
        <f t="shared" si="57"/>
        <v>226</v>
      </c>
      <c r="U245" s="2"/>
    </row>
    <row r="246" spans="2:21" ht="15">
      <c r="B246" s="29"/>
      <c r="C246" s="39">
        <f t="shared" si="66"/>
        <v>11</v>
      </c>
      <c r="D246" s="143">
        <f t="shared" si="64"/>
        <v>7</v>
      </c>
      <c r="E246" s="160">
        <f t="shared" si="58"/>
        <v>0</v>
      </c>
      <c r="F246" s="55">
        <f t="shared" si="67"/>
        <v>775.2989356188735</v>
      </c>
      <c r="G246" s="37">
        <f t="shared" si="60"/>
        <v>0</v>
      </c>
      <c r="H246" s="38">
        <f t="shared" si="65"/>
        <v>0</v>
      </c>
      <c r="I246" s="141">
        <f t="shared" si="68"/>
        <v>30</v>
      </c>
      <c r="J246" s="66" t="str">
        <f t="shared" si="59"/>
        <v>Loan repaid</v>
      </c>
      <c r="K246" s="45">
        <f t="shared" si="61"/>
        <v>0</v>
      </c>
      <c r="L246" s="74">
        <f t="shared" si="62"/>
        <v>9679.060691795665</v>
      </c>
      <c r="M246" s="152" t="str">
        <f t="shared" si="55"/>
        <v>Reserve £9,679</v>
      </c>
      <c r="N246" s="50"/>
      <c r="O246" s="2"/>
      <c r="P246" s="17">
        <f t="shared" si="56"/>
        <v>775.2989356188765</v>
      </c>
      <c r="Q246" s="11"/>
      <c r="R246" s="18">
        <f t="shared" si="69"/>
        <v>227</v>
      </c>
      <c r="S246" s="88">
        <f t="shared" si="63"/>
        <v>0</v>
      </c>
      <c r="T246" s="18">
        <f t="shared" si="57"/>
        <v>227</v>
      </c>
      <c r="U246" s="2"/>
    </row>
    <row r="247" spans="2:21" ht="15">
      <c r="B247" s="77">
        <f>B236</f>
        <v>19</v>
      </c>
      <c r="C247" s="40">
        <f t="shared" si="66"/>
        <v>12</v>
      </c>
      <c r="D247" s="155">
        <f t="shared" si="64"/>
        <v>7</v>
      </c>
      <c r="E247" s="160">
        <f t="shared" si="58"/>
        <v>0</v>
      </c>
      <c r="F247" s="124">
        <f t="shared" si="67"/>
        <v>775.2989356188735</v>
      </c>
      <c r="G247" s="135">
        <f t="shared" si="60"/>
        <v>0</v>
      </c>
      <c r="H247" s="134">
        <f t="shared" si="65"/>
        <v>0</v>
      </c>
      <c r="I247" s="141">
        <f t="shared" si="68"/>
        <v>30</v>
      </c>
      <c r="J247" s="66" t="str">
        <f t="shared" si="59"/>
        <v>Loan repaid</v>
      </c>
      <c r="K247" s="46">
        <f t="shared" si="61"/>
        <v>0</v>
      </c>
      <c r="L247" s="75">
        <f t="shared" si="62"/>
        <v>8960.222943545596</v>
      </c>
      <c r="M247" s="153" t="str">
        <f t="shared" si="55"/>
        <v>Reserve £8,960</v>
      </c>
      <c r="N247" s="51"/>
      <c r="O247" s="2"/>
      <c r="P247" s="19">
        <f t="shared" si="56"/>
        <v>775.298935618877</v>
      </c>
      <c r="Q247" s="13"/>
      <c r="R247" s="20">
        <f t="shared" si="69"/>
        <v>228</v>
      </c>
      <c r="S247" s="89">
        <f t="shared" si="63"/>
        <v>0</v>
      </c>
      <c r="T247" s="133">
        <f t="shared" si="57"/>
        <v>228</v>
      </c>
      <c r="U247" s="2"/>
    </row>
    <row r="248" spans="2:21" ht="15">
      <c r="B248" s="28">
        <f>B247+1</f>
        <v>20</v>
      </c>
      <c r="C248" s="147">
        <f t="shared" si="66"/>
        <v>1</v>
      </c>
      <c r="D248" s="142">
        <f t="shared" si="64"/>
        <v>7</v>
      </c>
      <c r="E248" s="159">
        <f t="shared" si="58"/>
        <v>0</v>
      </c>
      <c r="F248" s="56">
        <f>F247*(1+$F$10/100)</f>
        <v>775.2989356188735</v>
      </c>
      <c r="G248" s="37">
        <f t="shared" si="60"/>
        <v>0</v>
      </c>
      <c r="H248" s="35">
        <f t="shared" si="65"/>
        <v>0</v>
      </c>
      <c r="I248" s="140">
        <f t="shared" si="68"/>
        <v>30</v>
      </c>
      <c r="J248" s="65" t="str">
        <f t="shared" si="59"/>
        <v>Loan repaid</v>
      </c>
      <c r="K248" s="44">
        <f t="shared" si="61"/>
        <v>0</v>
      </c>
      <c r="L248" s="73">
        <f t="shared" si="62"/>
        <v>8237.1919750974</v>
      </c>
      <c r="M248" s="151" t="str">
        <f t="shared" si="55"/>
        <v>Reserve £8,237</v>
      </c>
      <c r="N248" s="49"/>
      <c r="O248" s="3"/>
      <c r="P248" s="17">
        <f t="shared" si="56"/>
        <v>775.2989356188789</v>
      </c>
      <c r="Q248" s="11"/>
      <c r="R248" s="18">
        <f t="shared" si="69"/>
        <v>229</v>
      </c>
      <c r="S248" s="87">
        <f t="shared" si="63"/>
        <v>0</v>
      </c>
      <c r="T248" s="18">
        <f t="shared" si="57"/>
        <v>229</v>
      </c>
      <c r="U248" s="2"/>
    </row>
    <row r="249" spans="2:21" ht="15">
      <c r="B249" s="29"/>
      <c r="C249" s="39">
        <f t="shared" si="66"/>
        <v>2</v>
      </c>
      <c r="D249" s="143">
        <f t="shared" si="64"/>
        <v>7</v>
      </c>
      <c r="E249" s="160">
        <f t="shared" si="58"/>
        <v>0</v>
      </c>
      <c r="F249" s="55">
        <f t="shared" si="67"/>
        <v>775.2989356188735</v>
      </c>
      <c r="G249" s="37">
        <f t="shared" si="60"/>
        <v>0</v>
      </c>
      <c r="H249" s="38">
        <f t="shared" si="65"/>
        <v>0</v>
      </c>
      <c r="I249" s="141">
        <f t="shared" si="68"/>
        <v>30</v>
      </c>
      <c r="J249" s="66" t="str">
        <f t="shared" si="59"/>
        <v>Loan repaid</v>
      </c>
      <c r="K249" s="45">
        <f t="shared" si="61"/>
        <v>0</v>
      </c>
      <c r="L249" s="74">
        <f t="shared" si="62"/>
        <v>7509.943325999924</v>
      </c>
      <c r="M249" s="152" t="str">
        <f t="shared" si="55"/>
        <v>Reserve £7,510</v>
      </c>
      <c r="N249" s="50"/>
      <c r="O249" s="2"/>
      <c r="P249" s="17">
        <f t="shared" si="56"/>
        <v>775.2989356188777</v>
      </c>
      <c r="Q249" s="11"/>
      <c r="R249" s="18">
        <f t="shared" si="69"/>
        <v>230</v>
      </c>
      <c r="S249" s="88">
        <f t="shared" si="63"/>
        <v>0</v>
      </c>
      <c r="T249" s="18">
        <f t="shared" si="57"/>
        <v>230</v>
      </c>
      <c r="U249" s="2"/>
    </row>
    <row r="250" spans="2:21" ht="15">
      <c r="B250" s="29"/>
      <c r="C250" s="39">
        <f t="shared" si="66"/>
        <v>3</v>
      </c>
      <c r="D250" s="143">
        <f t="shared" si="64"/>
        <v>7</v>
      </c>
      <c r="E250" s="160">
        <f t="shared" si="58"/>
        <v>0</v>
      </c>
      <c r="F250" s="55">
        <f t="shared" si="67"/>
        <v>775.2989356188735</v>
      </c>
      <c r="G250" s="37">
        <f t="shared" si="60"/>
        <v>0</v>
      </c>
      <c r="H250" s="38">
        <f t="shared" si="65"/>
        <v>0</v>
      </c>
      <c r="I250" s="141">
        <f t="shared" si="68"/>
        <v>30</v>
      </c>
      <c r="J250" s="66" t="str">
        <f t="shared" si="59"/>
        <v>Loan repaid</v>
      </c>
      <c r="K250" s="45">
        <f t="shared" si="61"/>
        <v>0</v>
      </c>
      <c r="L250" s="74">
        <f t="shared" si="62"/>
        <v>6778.452393116045</v>
      </c>
      <c r="M250" s="152" t="str">
        <f t="shared" si="55"/>
        <v>Reserve £6,778</v>
      </c>
      <c r="N250" s="50"/>
      <c r="O250" s="2"/>
      <c r="P250" s="17">
        <f t="shared" si="56"/>
        <v>775.298935618879</v>
      </c>
      <c r="Q250" s="11"/>
      <c r="R250" s="18">
        <f t="shared" si="69"/>
        <v>231</v>
      </c>
      <c r="S250" s="88">
        <f t="shared" si="63"/>
        <v>0</v>
      </c>
      <c r="T250" s="18">
        <f t="shared" si="57"/>
        <v>231</v>
      </c>
      <c r="U250" s="2"/>
    </row>
    <row r="251" spans="2:21" ht="15">
      <c r="B251" s="29"/>
      <c r="C251" s="39">
        <f t="shared" si="66"/>
        <v>4</v>
      </c>
      <c r="D251" s="143">
        <f t="shared" si="64"/>
        <v>7</v>
      </c>
      <c r="E251" s="160">
        <f t="shared" si="58"/>
        <v>0</v>
      </c>
      <c r="F251" s="55">
        <f t="shared" si="67"/>
        <v>775.2989356188735</v>
      </c>
      <c r="G251" s="37">
        <f t="shared" si="60"/>
        <v>0</v>
      </c>
      <c r="H251" s="38">
        <f t="shared" si="65"/>
        <v>0</v>
      </c>
      <c r="I251" s="141">
        <f t="shared" si="68"/>
        <v>30</v>
      </c>
      <c r="J251" s="66" t="str">
        <f t="shared" si="59"/>
        <v>Loan repaid</v>
      </c>
      <c r="K251" s="45">
        <f t="shared" si="61"/>
        <v>0</v>
      </c>
      <c r="L251" s="74">
        <f t="shared" si="62"/>
        <v>6042.694429790344</v>
      </c>
      <c r="M251" s="152" t="str">
        <f t="shared" si="55"/>
        <v>Reserve £6,043</v>
      </c>
      <c r="N251" s="50"/>
      <c r="O251" s="2"/>
      <c r="P251" s="17">
        <f t="shared" si="56"/>
        <v>775.2989356188784</v>
      </c>
      <c r="Q251" s="11"/>
      <c r="R251" s="18">
        <f t="shared" si="69"/>
        <v>232</v>
      </c>
      <c r="S251" s="88">
        <f t="shared" si="63"/>
        <v>0</v>
      </c>
      <c r="T251" s="18">
        <f t="shared" si="57"/>
        <v>232</v>
      </c>
      <c r="U251" s="2"/>
    </row>
    <row r="252" spans="2:21" ht="15">
      <c r="B252" s="29"/>
      <c r="C252" s="39">
        <f t="shared" si="66"/>
        <v>5</v>
      </c>
      <c r="D252" s="143">
        <f t="shared" si="64"/>
        <v>7</v>
      </c>
      <c r="E252" s="160">
        <f t="shared" si="58"/>
        <v>0</v>
      </c>
      <c r="F252" s="55">
        <f t="shared" si="67"/>
        <v>775.2989356188735</v>
      </c>
      <c r="G252" s="37">
        <f t="shared" si="60"/>
        <v>0</v>
      </c>
      <c r="H252" s="38">
        <f t="shared" si="65"/>
        <v>0</v>
      </c>
      <c r="I252" s="141">
        <f t="shared" si="68"/>
        <v>30</v>
      </c>
      <c r="J252" s="66" t="str">
        <f t="shared" si="59"/>
        <v>Loan repaid</v>
      </c>
      <c r="K252" s="45">
        <f t="shared" si="61"/>
        <v>0</v>
      </c>
      <c r="L252" s="74">
        <f t="shared" si="62"/>
        <v>5302.644545011908</v>
      </c>
      <c r="M252" s="152" t="str">
        <f t="shared" si="55"/>
        <v>Reserve £5,303</v>
      </c>
      <c r="N252" s="50"/>
      <c r="O252" s="2"/>
      <c r="P252" s="17">
        <f t="shared" si="56"/>
        <v>775.2989356188795</v>
      </c>
      <c r="Q252" s="11"/>
      <c r="R252" s="18">
        <f t="shared" si="69"/>
        <v>233</v>
      </c>
      <c r="S252" s="88">
        <f t="shared" si="63"/>
        <v>0</v>
      </c>
      <c r="T252" s="18">
        <f t="shared" si="57"/>
        <v>233</v>
      </c>
      <c r="U252" s="2"/>
    </row>
    <row r="253" spans="2:21" ht="15">
      <c r="B253" s="29"/>
      <c r="C253" s="39">
        <f t="shared" si="66"/>
        <v>6</v>
      </c>
      <c r="D253" s="143">
        <f t="shared" si="64"/>
        <v>7</v>
      </c>
      <c r="E253" s="160">
        <f t="shared" si="58"/>
        <v>0</v>
      </c>
      <c r="F253" s="55">
        <f t="shared" si="67"/>
        <v>775.2989356188735</v>
      </c>
      <c r="G253" s="37">
        <f t="shared" si="60"/>
        <v>0</v>
      </c>
      <c r="H253" s="38">
        <f t="shared" si="65"/>
        <v>0</v>
      </c>
      <c r="I253" s="141">
        <f t="shared" si="68"/>
        <v>30</v>
      </c>
      <c r="J253" s="66" t="str">
        <f t="shared" si="59"/>
        <v>Loan repaid</v>
      </c>
      <c r="K253" s="45">
        <f t="shared" si="61"/>
        <v>0</v>
      </c>
      <c r="L253" s="74">
        <f t="shared" si="62"/>
        <v>4558.277702572263</v>
      </c>
      <c r="M253" s="152" t="str">
        <f t="shared" si="55"/>
        <v>Reserve £4,558</v>
      </c>
      <c r="N253" s="50"/>
      <c r="O253" s="2"/>
      <c r="P253" s="17">
        <f t="shared" si="56"/>
        <v>775.2989356188814</v>
      </c>
      <c r="Q253" s="11"/>
      <c r="R253" s="18">
        <f t="shared" si="69"/>
        <v>234</v>
      </c>
      <c r="S253" s="88">
        <f t="shared" si="63"/>
        <v>0</v>
      </c>
      <c r="T253" s="18">
        <f t="shared" si="57"/>
        <v>234</v>
      </c>
      <c r="U253" s="2"/>
    </row>
    <row r="254" spans="2:21" ht="15">
      <c r="B254" s="29"/>
      <c r="C254" s="39">
        <f t="shared" si="66"/>
        <v>7</v>
      </c>
      <c r="D254" s="143">
        <f t="shared" si="64"/>
        <v>7</v>
      </c>
      <c r="E254" s="160">
        <f t="shared" si="58"/>
        <v>0</v>
      </c>
      <c r="F254" s="55">
        <f t="shared" si="67"/>
        <v>775.2989356188735</v>
      </c>
      <c r="G254" s="37">
        <f t="shared" si="60"/>
        <v>0</v>
      </c>
      <c r="H254" s="38">
        <f t="shared" si="65"/>
        <v>0</v>
      </c>
      <c r="I254" s="141">
        <f t="shared" si="68"/>
        <v>30</v>
      </c>
      <c r="J254" s="66" t="str">
        <f t="shared" si="59"/>
        <v>Loan repaid</v>
      </c>
      <c r="K254" s="45">
        <f t="shared" si="61"/>
        <v>0</v>
      </c>
      <c r="L254" s="74">
        <f t="shared" si="62"/>
        <v>3809.568720218387</v>
      </c>
      <c r="M254" s="152" t="str">
        <f t="shared" si="55"/>
        <v>Reserve £3,810</v>
      </c>
      <c r="N254" s="50"/>
      <c r="O254" s="2"/>
      <c r="P254" s="17">
        <f t="shared" si="56"/>
        <v>775.2989356188801</v>
      </c>
      <c r="Q254" s="11"/>
      <c r="R254" s="18">
        <f t="shared" si="69"/>
        <v>235</v>
      </c>
      <c r="S254" s="88">
        <f t="shared" si="63"/>
        <v>0</v>
      </c>
      <c r="T254" s="18">
        <f t="shared" si="57"/>
        <v>235</v>
      </c>
      <c r="U254" s="2"/>
    </row>
    <row r="255" spans="2:21" ht="15">
      <c r="B255" s="29"/>
      <c r="C255" s="39">
        <f t="shared" si="66"/>
        <v>8</v>
      </c>
      <c r="D255" s="143">
        <f t="shared" si="64"/>
        <v>7</v>
      </c>
      <c r="E255" s="160">
        <f t="shared" si="58"/>
        <v>0</v>
      </c>
      <c r="F255" s="55">
        <f t="shared" si="67"/>
        <v>775.2989356188735</v>
      </c>
      <c r="G255" s="37">
        <f t="shared" si="60"/>
        <v>0</v>
      </c>
      <c r="H255" s="38">
        <f t="shared" si="65"/>
        <v>0</v>
      </c>
      <c r="I255" s="141">
        <f t="shared" si="68"/>
        <v>30</v>
      </c>
      <c r="J255" s="66" t="str">
        <f t="shared" si="59"/>
        <v>Loan repaid</v>
      </c>
      <c r="K255" s="45">
        <f t="shared" si="61"/>
        <v>0</v>
      </c>
      <c r="L255" s="74">
        <f t="shared" si="62"/>
        <v>3056.4922688007805</v>
      </c>
      <c r="M255" s="152" t="str">
        <f t="shared" si="55"/>
        <v>Reserve £3,056</v>
      </c>
      <c r="N255" s="50"/>
      <c r="O255" s="2"/>
      <c r="P255" s="17">
        <f t="shared" si="56"/>
        <v>775.2989356188806</v>
      </c>
      <c r="Q255" s="11"/>
      <c r="R255" s="18">
        <f t="shared" si="69"/>
        <v>236</v>
      </c>
      <c r="S255" s="88">
        <f t="shared" si="63"/>
        <v>0</v>
      </c>
      <c r="T255" s="18">
        <f t="shared" si="57"/>
        <v>236</v>
      </c>
      <c r="U255" s="2"/>
    </row>
    <row r="256" spans="2:21" ht="15">
      <c r="B256" s="29"/>
      <c r="C256" s="39">
        <f t="shared" si="66"/>
        <v>9</v>
      </c>
      <c r="D256" s="143">
        <f t="shared" si="64"/>
        <v>7</v>
      </c>
      <c r="E256" s="160">
        <f t="shared" si="58"/>
        <v>0</v>
      </c>
      <c r="F256" s="55">
        <f t="shared" si="67"/>
        <v>775.2989356188735</v>
      </c>
      <c r="G256" s="37">
        <f t="shared" si="60"/>
        <v>0</v>
      </c>
      <c r="H256" s="38">
        <f t="shared" si="65"/>
        <v>0</v>
      </c>
      <c r="I256" s="141">
        <f t="shared" si="68"/>
        <v>30</v>
      </c>
      <c r="J256" s="66" t="str">
        <f t="shared" si="59"/>
        <v>Loan repaid</v>
      </c>
      <c r="K256" s="45">
        <f t="shared" si="61"/>
        <v>0</v>
      </c>
      <c r="L256" s="74">
        <f t="shared" si="62"/>
        <v>2299.02287141657</v>
      </c>
      <c r="M256" s="152" t="str">
        <f t="shared" si="55"/>
        <v>Reserve £2,299</v>
      </c>
      <c r="N256" s="50"/>
      <c r="O256" s="2"/>
      <c r="P256" s="17">
        <f t="shared" si="56"/>
        <v>775.298935618882</v>
      </c>
      <c r="Q256" s="11"/>
      <c r="R256" s="18">
        <f t="shared" si="69"/>
        <v>237</v>
      </c>
      <c r="S256" s="88">
        <f t="shared" si="63"/>
        <v>0</v>
      </c>
      <c r="T256" s="18">
        <f t="shared" si="57"/>
        <v>237</v>
      </c>
      <c r="U256" s="2"/>
    </row>
    <row r="257" spans="2:21" ht="15">
      <c r="B257" s="29"/>
      <c r="C257" s="39">
        <f t="shared" si="66"/>
        <v>10</v>
      </c>
      <c r="D257" s="143">
        <f t="shared" si="64"/>
        <v>7</v>
      </c>
      <c r="E257" s="160">
        <f t="shared" si="58"/>
        <v>0</v>
      </c>
      <c r="F257" s="55">
        <f t="shared" si="67"/>
        <v>775.2989356188735</v>
      </c>
      <c r="G257" s="37">
        <f t="shared" si="60"/>
        <v>0</v>
      </c>
      <c r="H257" s="38">
        <f t="shared" si="65"/>
        <v>0</v>
      </c>
      <c r="I257" s="141">
        <f t="shared" si="68"/>
        <v>30</v>
      </c>
      <c r="J257" s="66" t="str">
        <f t="shared" si="59"/>
        <v>Loan repaid</v>
      </c>
      <c r="K257" s="45">
        <f t="shared" si="61"/>
        <v>0</v>
      </c>
      <c r="L257" s="74">
        <f t="shared" si="62"/>
        <v>1537.1349025476197</v>
      </c>
      <c r="M257" s="152" t="str">
        <f t="shared" si="55"/>
        <v>Reserve £1,537</v>
      </c>
      <c r="N257" s="50"/>
      <c r="O257" s="2"/>
      <c r="P257" s="17">
        <f t="shared" si="56"/>
        <v>775.2989356188804</v>
      </c>
      <c r="Q257" s="11"/>
      <c r="R257" s="18">
        <f t="shared" si="69"/>
        <v>238</v>
      </c>
      <c r="S257" s="88">
        <f t="shared" si="63"/>
        <v>0</v>
      </c>
      <c r="T257" s="18">
        <f t="shared" si="57"/>
        <v>238</v>
      </c>
      <c r="U257" s="2"/>
    </row>
    <row r="258" spans="2:21" ht="15">
      <c r="B258" s="29"/>
      <c r="C258" s="39">
        <f t="shared" si="66"/>
        <v>11</v>
      </c>
      <c r="D258" s="143">
        <f t="shared" si="64"/>
        <v>7</v>
      </c>
      <c r="E258" s="160">
        <f t="shared" si="58"/>
        <v>0</v>
      </c>
      <c r="F258" s="55">
        <f t="shared" si="67"/>
        <v>775.2989356188735</v>
      </c>
      <c r="G258" s="37">
        <f t="shared" si="60"/>
        <v>0</v>
      </c>
      <c r="H258" s="38">
        <f t="shared" si="65"/>
        <v>0</v>
      </c>
      <c r="I258" s="141">
        <f t="shared" si="68"/>
        <v>30</v>
      </c>
      <c r="J258" s="66" t="str">
        <f t="shared" si="59"/>
        <v>Loan repaid</v>
      </c>
      <c r="K258" s="45">
        <f t="shared" si="61"/>
        <v>0</v>
      </c>
      <c r="L258" s="74">
        <f t="shared" si="62"/>
        <v>770.802587193592</v>
      </c>
      <c r="M258" s="152" t="str">
        <f t="shared" si="55"/>
        <v>Reserve £771</v>
      </c>
      <c r="N258" s="50"/>
      <c r="O258" s="2"/>
      <c r="P258" s="17">
        <f t="shared" si="56"/>
        <v>775.2989356188889</v>
      </c>
      <c r="Q258" s="11"/>
      <c r="R258" s="18">
        <f t="shared" si="69"/>
        <v>239</v>
      </c>
      <c r="S258" s="88">
        <f t="shared" si="63"/>
        <v>0</v>
      </c>
      <c r="T258" s="18">
        <f t="shared" si="57"/>
        <v>239</v>
      </c>
      <c r="U258" s="2"/>
    </row>
    <row r="259" spans="2:21" ht="15">
      <c r="B259" s="77">
        <f>B248</f>
        <v>20</v>
      </c>
      <c r="C259" s="40">
        <f t="shared" si="66"/>
        <v>12</v>
      </c>
      <c r="D259" s="155">
        <f t="shared" si="64"/>
        <v>7</v>
      </c>
      <c r="E259" s="160">
        <f t="shared" si="58"/>
        <v>0</v>
      </c>
      <c r="F259" s="124">
        <f t="shared" si="67"/>
        <v>775.2989356188735</v>
      </c>
      <c r="G259" s="135">
        <f t="shared" si="60"/>
        <v>0</v>
      </c>
      <c r="H259" s="134">
        <f t="shared" si="65"/>
        <v>0</v>
      </c>
      <c r="I259" s="141">
        <f t="shared" si="68"/>
        <v>30</v>
      </c>
      <c r="J259" s="66" t="str">
        <f t="shared" si="59"/>
        <v>Loan repaid</v>
      </c>
      <c r="K259" s="46">
        <f t="shared" si="61"/>
        <v>0</v>
      </c>
      <c r="L259" s="75">
        <f t="shared" si="62"/>
        <v>3.069544618483633E-12</v>
      </c>
      <c r="M259" s="153" t="str">
        <f t="shared" si="55"/>
        <v>Reserve £0</v>
      </c>
      <c r="N259" s="51"/>
      <c r="O259" s="2"/>
      <c r="P259" s="19">
        <f t="shared" si="56"/>
        <v>775.2989356188849</v>
      </c>
      <c r="Q259" s="13"/>
      <c r="R259" s="20">
        <f t="shared" si="69"/>
        <v>240</v>
      </c>
      <c r="S259" s="89">
        <f t="shared" si="63"/>
        <v>0</v>
      </c>
      <c r="T259" s="133">
        <f t="shared" si="57"/>
        <v>240</v>
      </c>
      <c r="U259" s="2"/>
    </row>
    <row r="260" spans="2:21" ht="15">
      <c r="B260" s="28">
        <f>B259+1</f>
        <v>21</v>
      </c>
      <c r="C260" s="147">
        <f t="shared" si="66"/>
        <v>1</v>
      </c>
      <c r="D260" s="142">
        <f t="shared" si="64"/>
        <v>7</v>
      </c>
      <c r="E260" s="159">
        <f t="shared" si="58"/>
        <v>0</v>
      </c>
      <c r="F260" s="56">
        <f>F259*(1+$F$10/100)</f>
        <v>775.2989356188735</v>
      </c>
      <c r="G260" s="37">
        <f t="shared" si="60"/>
        <v>0</v>
      </c>
      <c r="H260" s="35">
        <f t="shared" si="65"/>
        <v>0</v>
      </c>
      <c r="I260" s="140">
        <f t="shared" si="68"/>
        <v>30</v>
      </c>
      <c r="J260" s="65" t="str">
        <f t="shared" si="59"/>
        <v>Loan repaid</v>
      </c>
      <c r="K260" s="44">
        <f t="shared" si="61"/>
        <v>0</v>
      </c>
      <c r="L260" s="73">
        <f t="shared" si="62"/>
        <v>0</v>
      </c>
      <c r="M260" s="151" t="str">
        <f t="shared" si="55"/>
        <v>Loan terminated</v>
      </c>
      <c r="N260" s="49"/>
      <c r="O260" s="3"/>
      <c r="P260" s="17">
        <f t="shared" si="56"/>
        <v>0</v>
      </c>
      <c r="Q260" s="11"/>
      <c r="R260" s="18">
        <f t="shared" si="69"/>
        <v>241</v>
      </c>
      <c r="S260" s="87">
        <f t="shared" si="63"/>
        <v>0</v>
      </c>
      <c r="T260" s="18">
        <f t="shared" si="57"/>
        <v>241</v>
      </c>
      <c r="U260" s="2"/>
    </row>
    <row r="261" spans="2:21" ht="15">
      <c r="B261" s="29"/>
      <c r="C261" s="39">
        <f t="shared" si="66"/>
        <v>2</v>
      </c>
      <c r="D261" s="143">
        <f t="shared" si="64"/>
        <v>7</v>
      </c>
      <c r="E261" s="160">
        <f t="shared" si="58"/>
        <v>0</v>
      </c>
      <c r="F261" s="55">
        <f t="shared" si="67"/>
        <v>775.2989356188735</v>
      </c>
      <c r="G261" s="37">
        <f t="shared" si="60"/>
        <v>0</v>
      </c>
      <c r="H261" s="38">
        <f t="shared" si="65"/>
        <v>0</v>
      </c>
      <c r="I261" s="141">
        <f t="shared" si="68"/>
        <v>30</v>
      </c>
      <c r="J261" s="66" t="str">
        <f t="shared" si="59"/>
        <v>Loan repaid</v>
      </c>
      <c r="K261" s="45">
        <f t="shared" si="61"/>
        <v>0</v>
      </c>
      <c r="L261" s="74">
        <f t="shared" si="62"/>
        <v>0</v>
      </c>
      <c r="M261" s="152" t="str">
        <f t="shared" si="55"/>
        <v>Loan terminated</v>
      </c>
      <c r="N261" s="50"/>
      <c r="O261" s="2"/>
      <c r="P261" s="17">
        <f t="shared" si="56"/>
        <v>0</v>
      </c>
      <c r="Q261" s="11"/>
      <c r="R261" s="18">
        <f t="shared" si="69"/>
        <v>242</v>
      </c>
      <c r="S261" s="88">
        <f t="shared" si="63"/>
        <v>0</v>
      </c>
      <c r="T261" s="18">
        <f t="shared" si="57"/>
        <v>242</v>
      </c>
      <c r="U261" s="2"/>
    </row>
    <row r="262" spans="2:21" ht="15">
      <c r="B262" s="29"/>
      <c r="C262" s="39">
        <f t="shared" si="66"/>
        <v>3</v>
      </c>
      <c r="D262" s="143">
        <f t="shared" si="64"/>
        <v>7</v>
      </c>
      <c r="E262" s="160">
        <f t="shared" si="58"/>
        <v>0</v>
      </c>
      <c r="F262" s="55">
        <f t="shared" si="67"/>
        <v>775.2989356188735</v>
      </c>
      <c r="G262" s="37">
        <f t="shared" si="60"/>
        <v>0</v>
      </c>
      <c r="H262" s="38">
        <f t="shared" si="65"/>
        <v>0</v>
      </c>
      <c r="I262" s="141">
        <f t="shared" si="68"/>
        <v>30</v>
      </c>
      <c r="J262" s="66" t="str">
        <f t="shared" si="59"/>
        <v>Loan repaid</v>
      </c>
      <c r="K262" s="45">
        <f t="shared" si="61"/>
        <v>0</v>
      </c>
      <c r="L262" s="74">
        <f t="shared" si="62"/>
        <v>0</v>
      </c>
      <c r="M262" s="152" t="str">
        <f t="shared" si="55"/>
        <v>Loan terminated</v>
      </c>
      <c r="N262" s="50"/>
      <c r="O262" s="2"/>
      <c r="P262" s="17">
        <f t="shared" si="56"/>
        <v>0</v>
      </c>
      <c r="Q262" s="11"/>
      <c r="R262" s="18">
        <f t="shared" si="69"/>
        <v>243</v>
      </c>
      <c r="S262" s="88">
        <f t="shared" si="63"/>
        <v>0</v>
      </c>
      <c r="T262" s="18">
        <f t="shared" si="57"/>
        <v>243</v>
      </c>
      <c r="U262" s="2"/>
    </row>
    <row r="263" spans="2:21" ht="15">
      <c r="B263" s="29"/>
      <c r="C263" s="39">
        <f t="shared" si="66"/>
        <v>4</v>
      </c>
      <c r="D263" s="143">
        <f t="shared" si="64"/>
        <v>7</v>
      </c>
      <c r="E263" s="160">
        <f t="shared" si="58"/>
        <v>0</v>
      </c>
      <c r="F263" s="55">
        <f t="shared" si="67"/>
        <v>775.2989356188735</v>
      </c>
      <c r="G263" s="37">
        <f t="shared" si="60"/>
        <v>0</v>
      </c>
      <c r="H263" s="38">
        <f t="shared" si="65"/>
        <v>0</v>
      </c>
      <c r="I263" s="141">
        <f t="shared" si="68"/>
        <v>30</v>
      </c>
      <c r="J263" s="66" t="str">
        <f t="shared" si="59"/>
        <v>Loan repaid</v>
      </c>
      <c r="K263" s="45">
        <f t="shared" si="61"/>
        <v>0</v>
      </c>
      <c r="L263" s="74">
        <f t="shared" si="62"/>
        <v>0</v>
      </c>
      <c r="M263" s="152" t="str">
        <f t="shared" si="55"/>
        <v>Loan terminated</v>
      </c>
      <c r="N263" s="50"/>
      <c r="O263" s="2"/>
      <c r="P263" s="17">
        <f t="shared" si="56"/>
        <v>0</v>
      </c>
      <c r="Q263" s="11"/>
      <c r="R263" s="18">
        <f t="shared" si="69"/>
        <v>244</v>
      </c>
      <c r="S263" s="88">
        <f t="shared" si="63"/>
        <v>0</v>
      </c>
      <c r="T263" s="18">
        <f t="shared" si="57"/>
        <v>244</v>
      </c>
      <c r="U263" s="2"/>
    </row>
    <row r="264" spans="2:21" ht="15">
      <c r="B264" s="29"/>
      <c r="C264" s="39">
        <f t="shared" si="66"/>
        <v>5</v>
      </c>
      <c r="D264" s="143">
        <f t="shared" si="64"/>
        <v>7</v>
      </c>
      <c r="E264" s="160">
        <f t="shared" si="58"/>
        <v>0</v>
      </c>
      <c r="F264" s="55">
        <f t="shared" si="67"/>
        <v>775.2989356188735</v>
      </c>
      <c r="G264" s="37">
        <f t="shared" si="60"/>
        <v>0</v>
      </c>
      <c r="H264" s="38">
        <f t="shared" si="65"/>
        <v>0</v>
      </c>
      <c r="I264" s="141">
        <f t="shared" si="68"/>
        <v>30</v>
      </c>
      <c r="J264" s="66" t="str">
        <f t="shared" si="59"/>
        <v>Loan repaid</v>
      </c>
      <c r="K264" s="45">
        <f t="shared" si="61"/>
        <v>0</v>
      </c>
      <c r="L264" s="74">
        <f t="shared" si="62"/>
        <v>0</v>
      </c>
      <c r="M264" s="152" t="str">
        <f t="shared" si="55"/>
        <v>Loan terminated</v>
      </c>
      <c r="N264" s="50"/>
      <c r="O264" s="2"/>
      <c r="P264" s="17">
        <f t="shared" si="56"/>
        <v>0</v>
      </c>
      <c r="Q264" s="11"/>
      <c r="R264" s="18">
        <f t="shared" si="69"/>
        <v>245</v>
      </c>
      <c r="S264" s="88">
        <f t="shared" si="63"/>
        <v>0</v>
      </c>
      <c r="T264" s="18">
        <f t="shared" si="57"/>
        <v>245</v>
      </c>
      <c r="U264" s="2"/>
    </row>
    <row r="265" spans="2:21" ht="15">
      <c r="B265" s="29"/>
      <c r="C265" s="39">
        <f t="shared" si="66"/>
        <v>6</v>
      </c>
      <c r="D265" s="143">
        <f t="shared" si="64"/>
        <v>7</v>
      </c>
      <c r="E265" s="160">
        <f t="shared" si="58"/>
        <v>0</v>
      </c>
      <c r="F265" s="55">
        <f t="shared" si="67"/>
        <v>775.2989356188735</v>
      </c>
      <c r="G265" s="37">
        <f t="shared" si="60"/>
        <v>0</v>
      </c>
      <c r="H265" s="38">
        <f t="shared" si="65"/>
        <v>0</v>
      </c>
      <c r="I265" s="141">
        <f t="shared" si="68"/>
        <v>30</v>
      </c>
      <c r="J265" s="66" t="str">
        <f t="shared" si="59"/>
        <v>Loan repaid</v>
      </c>
      <c r="K265" s="45">
        <f t="shared" si="61"/>
        <v>0</v>
      </c>
      <c r="L265" s="74">
        <f t="shared" si="62"/>
        <v>0</v>
      </c>
      <c r="M265" s="152" t="str">
        <f t="shared" si="55"/>
        <v>Loan terminated</v>
      </c>
      <c r="N265" s="50"/>
      <c r="O265" s="2"/>
      <c r="P265" s="17">
        <f t="shared" si="56"/>
        <v>0</v>
      </c>
      <c r="Q265" s="11"/>
      <c r="R265" s="18">
        <f t="shared" si="69"/>
        <v>246</v>
      </c>
      <c r="S265" s="88">
        <f t="shared" si="63"/>
        <v>0</v>
      </c>
      <c r="T265" s="18">
        <f t="shared" si="57"/>
        <v>246</v>
      </c>
      <c r="U265" s="2"/>
    </row>
    <row r="266" spans="2:21" ht="15">
      <c r="B266" s="29"/>
      <c r="C266" s="39">
        <f t="shared" si="66"/>
        <v>7</v>
      </c>
      <c r="D266" s="143">
        <f t="shared" si="64"/>
        <v>7</v>
      </c>
      <c r="E266" s="160">
        <f t="shared" si="58"/>
        <v>0</v>
      </c>
      <c r="F266" s="55">
        <f t="shared" si="67"/>
        <v>775.2989356188735</v>
      </c>
      <c r="G266" s="37">
        <f t="shared" si="60"/>
        <v>0</v>
      </c>
      <c r="H266" s="38">
        <f t="shared" si="65"/>
        <v>0</v>
      </c>
      <c r="I266" s="141">
        <f t="shared" si="68"/>
        <v>30</v>
      </c>
      <c r="J266" s="66" t="str">
        <f t="shared" si="59"/>
        <v>Loan repaid</v>
      </c>
      <c r="K266" s="45">
        <f t="shared" si="61"/>
        <v>0</v>
      </c>
      <c r="L266" s="74">
        <f t="shared" si="62"/>
        <v>0</v>
      </c>
      <c r="M266" s="152" t="str">
        <f t="shared" si="55"/>
        <v>Loan terminated</v>
      </c>
      <c r="N266" s="50"/>
      <c r="O266" s="2"/>
      <c r="P266" s="17">
        <f t="shared" si="56"/>
        <v>0</v>
      </c>
      <c r="Q266" s="11"/>
      <c r="R266" s="18">
        <f t="shared" si="69"/>
        <v>247</v>
      </c>
      <c r="S266" s="88">
        <f t="shared" si="63"/>
        <v>0</v>
      </c>
      <c r="T266" s="18">
        <f t="shared" si="57"/>
        <v>247</v>
      </c>
      <c r="U266" s="2"/>
    </row>
    <row r="267" spans="2:21" ht="15">
      <c r="B267" s="29"/>
      <c r="C267" s="39">
        <f t="shared" si="66"/>
        <v>8</v>
      </c>
      <c r="D267" s="143">
        <f t="shared" si="64"/>
        <v>7</v>
      </c>
      <c r="E267" s="160">
        <f t="shared" si="58"/>
        <v>0</v>
      </c>
      <c r="F267" s="55">
        <f t="shared" si="67"/>
        <v>775.2989356188735</v>
      </c>
      <c r="G267" s="37">
        <f t="shared" si="60"/>
        <v>0</v>
      </c>
      <c r="H267" s="38">
        <f t="shared" si="65"/>
        <v>0</v>
      </c>
      <c r="I267" s="141">
        <f t="shared" si="68"/>
        <v>30</v>
      </c>
      <c r="J267" s="66" t="str">
        <f t="shared" si="59"/>
        <v>Loan repaid</v>
      </c>
      <c r="K267" s="45">
        <f t="shared" si="61"/>
        <v>0</v>
      </c>
      <c r="L267" s="74">
        <f t="shared" si="62"/>
        <v>0</v>
      </c>
      <c r="M267" s="152" t="str">
        <f t="shared" si="55"/>
        <v>Loan terminated</v>
      </c>
      <c r="N267" s="50"/>
      <c r="O267" s="2"/>
      <c r="P267" s="17">
        <f t="shared" si="56"/>
        <v>0</v>
      </c>
      <c r="Q267" s="11"/>
      <c r="R267" s="18">
        <f t="shared" si="69"/>
        <v>248</v>
      </c>
      <c r="S267" s="88">
        <f t="shared" si="63"/>
        <v>0</v>
      </c>
      <c r="T267" s="18">
        <f t="shared" si="57"/>
        <v>248</v>
      </c>
      <c r="U267" s="2"/>
    </row>
    <row r="268" spans="2:21" ht="15">
      <c r="B268" s="29"/>
      <c r="C268" s="39">
        <f t="shared" si="66"/>
        <v>9</v>
      </c>
      <c r="D268" s="143">
        <f t="shared" si="64"/>
        <v>7</v>
      </c>
      <c r="E268" s="160">
        <f t="shared" si="58"/>
        <v>0</v>
      </c>
      <c r="F268" s="55">
        <f t="shared" si="67"/>
        <v>775.2989356188735</v>
      </c>
      <c r="G268" s="37">
        <f t="shared" si="60"/>
        <v>0</v>
      </c>
      <c r="H268" s="38">
        <f t="shared" si="65"/>
        <v>0</v>
      </c>
      <c r="I268" s="141">
        <f t="shared" si="68"/>
        <v>30</v>
      </c>
      <c r="J268" s="66" t="str">
        <f t="shared" si="59"/>
        <v>Loan repaid</v>
      </c>
      <c r="K268" s="45">
        <f t="shared" si="61"/>
        <v>0</v>
      </c>
      <c r="L268" s="74">
        <f t="shared" si="62"/>
        <v>0</v>
      </c>
      <c r="M268" s="152" t="str">
        <f t="shared" si="55"/>
        <v>Loan terminated</v>
      </c>
      <c r="N268" s="50"/>
      <c r="O268" s="2"/>
      <c r="P268" s="17">
        <f t="shared" si="56"/>
        <v>0</v>
      </c>
      <c r="Q268" s="11"/>
      <c r="R268" s="18">
        <f t="shared" si="69"/>
        <v>249</v>
      </c>
      <c r="S268" s="88">
        <f t="shared" si="63"/>
        <v>0</v>
      </c>
      <c r="T268" s="18">
        <f t="shared" si="57"/>
        <v>249</v>
      </c>
      <c r="U268" s="2"/>
    </row>
    <row r="269" spans="2:21" ht="15">
      <c r="B269" s="29"/>
      <c r="C269" s="39">
        <f t="shared" si="66"/>
        <v>10</v>
      </c>
      <c r="D269" s="143">
        <f t="shared" si="64"/>
        <v>7</v>
      </c>
      <c r="E269" s="160">
        <f t="shared" si="58"/>
        <v>0</v>
      </c>
      <c r="F269" s="55">
        <f t="shared" si="67"/>
        <v>775.2989356188735</v>
      </c>
      <c r="G269" s="37">
        <f t="shared" si="60"/>
        <v>0</v>
      </c>
      <c r="H269" s="38">
        <f t="shared" si="65"/>
        <v>0</v>
      </c>
      <c r="I269" s="141">
        <f t="shared" si="68"/>
        <v>30</v>
      </c>
      <c r="J269" s="66" t="str">
        <f t="shared" si="59"/>
        <v>Loan repaid</v>
      </c>
      <c r="K269" s="45">
        <f t="shared" si="61"/>
        <v>0</v>
      </c>
      <c r="L269" s="74">
        <f t="shared" si="62"/>
        <v>0</v>
      </c>
      <c r="M269" s="152" t="str">
        <f t="shared" si="55"/>
        <v>Loan terminated</v>
      </c>
      <c r="N269" s="50"/>
      <c r="O269" s="2"/>
      <c r="P269" s="17">
        <f t="shared" si="56"/>
        <v>0</v>
      </c>
      <c r="Q269" s="11"/>
      <c r="R269" s="18">
        <f t="shared" si="69"/>
        <v>250</v>
      </c>
      <c r="S269" s="88">
        <f t="shared" si="63"/>
        <v>0</v>
      </c>
      <c r="T269" s="18">
        <f t="shared" si="57"/>
        <v>250</v>
      </c>
      <c r="U269" s="2"/>
    </row>
    <row r="270" spans="2:21" ht="15">
      <c r="B270" s="29"/>
      <c r="C270" s="39">
        <f t="shared" si="66"/>
        <v>11</v>
      </c>
      <c r="D270" s="143">
        <f t="shared" si="64"/>
        <v>7</v>
      </c>
      <c r="E270" s="160">
        <f t="shared" si="58"/>
        <v>0</v>
      </c>
      <c r="F270" s="55">
        <f t="shared" si="67"/>
        <v>775.2989356188735</v>
      </c>
      <c r="G270" s="37">
        <f t="shared" si="60"/>
        <v>0</v>
      </c>
      <c r="H270" s="38">
        <f t="shared" si="65"/>
        <v>0</v>
      </c>
      <c r="I270" s="141">
        <f t="shared" si="68"/>
        <v>30</v>
      </c>
      <c r="J270" s="66" t="str">
        <f t="shared" si="59"/>
        <v>Loan repaid</v>
      </c>
      <c r="K270" s="45">
        <f t="shared" si="61"/>
        <v>0</v>
      </c>
      <c r="L270" s="74">
        <f t="shared" si="62"/>
        <v>0</v>
      </c>
      <c r="M270" s="152" t="str">
        <f t="shared" si="55"/>
        <v>Loan terminated</v>
      </c>
      <c r="N270" s="50"/>
      <c r="O270" s="2"/>
      <c r="P270" s="17">
        <f t="shared" si="56"/>
        <v>0</v>
      </c>
      <c r="Q270" s="11"/>
      <c r="R270" s="18">
        <f t="shared" si="69"/>
        <v>251</v>
      </c>
      <c r="S270" s="88">
        <f t="shared" si="63"/>
        <v>0</v>
      </c>
      <c r="T270" s="18">
        <f t="shared" si="57"/>
        <v>251</v>
      </c>
      <c r="U270" s="2"/>
    </row>
    <row r="271" spans="2:21" ht="15">
      <c r="B271" s="77">
        <f>B260</f>
        <v>21</v>
      </c>
      <c r="C271" s="40">
        <f t="shared" si="66"/>
        <v>12</v>
      </c>
      <c r="D271" s="155">
        <f t="shared" si="64"/>
        <v>7</v>
      </c>
      <c r="E271" s="160">
        <f t="shared" si="58"/>
        <v>0</v>
      </c>
      <c r="F271" s="124">
        <f t="shared" si="67"/>
        <v>775.2989356188735</v>
      </c>
      <c r="G271" s="135">
        <f t="shared" si="60"/>
        <v>0</v>
      </c>
      <c r="H271" s="134">
        <f t="shared" si="65"/>
        <v>0</v>
      </c>
      <c r="I271" s="141">
        <f t="shared" si="68"/>
        <v>30</v>
      </c>
      <c r="J271" s="66" t="str">
        <f t="shared" si="59"/>
        <v>Loan repaid</v>
      </c>
      <c r="K271" s="46">
        <f t="shared" si="61"/>
        <v>0</v>
      </c>
      <c r="L271" s="75">
        <f t="shared" si="62"/>
        <v>0</v>
      </c>
      <c r="M271" s="153" t="str">
        <f t="shared" si="55"/>
        <v>Loan terminated</v>
      </c>
      <c r="N271" s="51"/>
      <c r="O271" s="2"/>
      <c r="P271" s="19">
        <f t="shared" si="56"/>
        <v>0</v>
      </c>
      <c r="Q271" s="13"/>
      <c r="R271" s="20">
        <f t="shared" si="69"/>
        <v>252</v>
      </c>
      <c r="S271" s="89">
        <f t="shared" si="63"/>
        <v>0</v>
      </c>
      <c r="T271" s="133">
        <f t="shared" si="57"/>
        <v>252</v>
      </c>
      <c r="U271" s="2"/>
    </row>
    <row r="272" spans="2:21" ht="15">
      <c r="B272" s="28">
        <f>B271+1</f>
        <v>22</v>
      </c>
      <c r="C272" s="147">
        <f t="shared" si="66"/>
        <v>1</v>
      </c>
      <c r="D272" s="142">
        <f t="shared" si="64"/>
        <v>7</v>
      </c>
      <c r="E272" s="159">
        <f t="shared" si="58"/>
        <v>0</v>
      </c>
      <c r="F272" s="56">
        <f>F271*(1+$F$10/100)</f>
        <v>775.2989356188735</v>
      </c>
      <c r="G272" s="37">
        <f t="shared" si="60"/>
        <v>0</v>
      </c>
      <c r="H272" s="35">
        <f t="shared" si="65"/>
        <v>0</v>
      </c>
      <c r="I272" s="140">
        <f t="shared" si="68"/>
        <v>30</v>
      </c>
      <c r="J272" s="65" t="str">
        <f t="shared" si="59"/>
        <v>Loan repaid</v>
      </c>
      <c r="K272" s="44">
        <f t="shared" si="61"/>
        <v>0</v>
      </c>
      <c r="L272" s="73">
        <f t="shared" si="62"/>
        <v>0</v>
      </c>
      <c r="M272" s="151" t="str">
        <f aca="true" t="shared" si="70" ref="M272:M319">IF(R272=$T$320,"Final payment=£"&amp;FIXED(S272,2),IF(R272&gt;$F$8*12,"Loan terminated",IF(ROUND(K272,0)&gt;ROUND(L272,0),"£"&amp;FIXED(K272-L272,0)&amp;" short","Reserve £"&amp;FIXED(L272-K272,0))&amp;IF(G272&gt;K271," Credit too big","")))</f>
        <v>Loan terminated</v>
      </c>
      <c r="N272" s="49"/>
      <c r="O272" s="3"/>
      <c r="P272" s="17">
        <f t="shared" si="56"/>
        <v>0</v>
      </c>
      <c r="Q272" s="11"/>
      <c r="R272" s="18">
        <f t="shared" si="69"/>
        <v>253</v>
      </c>
      <c r="S272" s="87">
        <f t="shared" si="63"/>
        <v>0</v>
      </c>
      <c r="T272" s="18">
        <f t="shared" si="57"/>
        <v>253</v>
      </c>
      <c r="U272" s="2"/>
    </row>
    <row r="273" spans="2:21" ht="15">
      <c r="B273" s="29"/>
      <c r="C273" s="39">
        <f t="shared" si="66"/>
        <v>2</v>
      </c>
      <c r="D273" s="143">
        <f t="shared" si="64"/>
        <v>7</v>
      </c>
      <c r="E273" s="160">
        <f t="shared" si="58"/>
        <v>0</v>
      </c>
      <c r="F273" s="55">
        <f t="shared" si="67"/>
        <v>775.2989356188735</v>
      </c>
      <c r="G273" s="37">
        <f t="shared" si="60"/>
        <v>0</v>
      </c>
      <c r="H273" s="38">
        <f t="shared" si="65"/>
        <v>0</v>
      </c>
      <c r="I273" s="141">
        <f t="shared" si="68"/>
        <v>30</v>
      </c>
      <c r="J273" s="66" t="str">
        <f t="shared" si="59"/>
        <v>Loan repaid</v>
      </c>
      <c r="K273" s="45">
        <f t="shared" si="61"/>
        <v>0</v>
      </c>
      <c r="L273" s="74">
        <f t="shared" si="62"/>
        <v>0</v>
      </c>
      <c r="M273" s="152" t="str">
        <f t="shared" si="70"/>
        <v>Loan terminated</v>
      </c>
      <c r="N273" s="50"/>
      <c r="O273" s="2"/>
      <c r="P273" s="17">
        <f t="shared" si="56"/>
        <v>0</v>
      </c>
      <c r="Q273" s="11"/>
      <c r="R273" s="18">
        <f t="shared" si="69"/>
        <v>254</v>
      </c>
      <c r="S273" s="88">
        <f t="shared" si="63"/>
        <v>0</v>
      </c>
      <c r="T273" s="18">
        <f t="shared" si="57"/>
        <v>254</v>
      </c>
      <c r="U273" s="2"/>
    </row>
    <row r="274" spans="2:21" ht="15">
      <c r="B274" s="29"/>
      <c r="C274" s="39">
        <f t="shared" si="66"/>
        <v>3</v>
      </c>
      <c r="D274" s="143">
        <f t="shared" si="64"/>
        <v>7</v>
      </c>
      <c r="E274" s="160">
        <f t="shared" si="58"/>
        <v>0</v>
      </c>
      <c r="F274" s="55">
        <f t="shared" si="67"/>
        <v>775.2989356188735</v>
      </c>
      <c r="G274" s="37">
        <f t="shared" si="60"/>
        <v>0</v>
      </c>
      <c r="H274" s="38">
        <f t="shared" si="65"/>
        <v>0</v>
      </c>
      <c r="I274" s="141">
        <f t="shared" si="68"/>
        <v>30</v>
      </c>
      <c r="J274" s="66" t="str">
        <f t="shared" si="59"/>
        <v>Loan repaid</v>
      </c>
      <c r="K274" s="45">
        <f t="shared" si="61"/>
        <v>0</v>
      </c>
      <c r="L274" s="74">
        <f t="shared" si="62"/>
        <v>0</v>
      </c>
      <c r="M274" s="152" t="str">
        <f t="shared" si="70"/>
        <v>Loan terminated</v>
      </c>
      <c r="N274" s="50"/>
      <c r="O274" s="2"/>
      <c r="P274" s="17">
        <f t="shared" si="56"/>
        <v>0</v>
      </c>
      <c r="Q274" s="11"/>
      <c r="R274" s="18">
        <f t="shared" si="69"/>
        <v>255</v>
      </c>
      <c r="S274" s="88">
        <f t="shared" si="63"/>
        <v>0</v>
      </c>
      <c r="T274" s="18">
        <f t="shared" si="57"/>
        <v>255</v>
      </c>
      <c r="U274" s="2"/>
    </row>
    <row r="275" spans="2:21" ht="15">
      <c r="B275" s="29"/>
      <c r="C275" s="39">
        <f t="shared" si="66"/>
        <v>4</v>
      </c>
      <c r="D275" s="143">
        <f t="shared" si="64"/>
        <v>7</v>
      </c>
      <c r="E275" s="160">
        <f t="shared" si="58"/>
        <v>0</v>
      </c>
      <c r="F275" s="55">
        <f t="shared" si="67"/>
        <v>775.2989356188735</v>
      </c>
      <c r="G275" s="37">
        <f t="shared" si="60"/>
        <v>0</v>
      </c>
      <c r="H275" s="38">
        <f t="shared" si="65"/>
        <v>0</v>
      </c>
      <c r="I275" s="141">
        <f t="shared" si="68"/>
        <v>30</v>
      </c>
      <c r="J275" s="66" t="str">
        <f t="shared" si="59"/>
        <v>Loan repaid</v>
      </c>
      <c r="K275" s="45">
        <f t="shared" si="61"/>
        <v>0</v>
      </c>
      <c r="L275" s="74">
        <f t="shared" si="62"/>
        <v>0</v>
      </c>
      <c r="M275" s="152" t="str">
        <f t="shared" si="70"/>
        <v>Loan terminated</v>
      </c>
      <c r="N275" s="50"/>
      <c r="O275" s="2"/>
      <c r="P275" s="17">
        <f t="shared" si="56"/>
        <v>0</v>
      </c>
      <c r="Q275" s="11"/>
      <c r="R275" s="18">
        <f t="shared" si="69"/>
        <v>256</v>
      </c>
      <c r="S275" s="88">
        <f t="shared" si="63"/>
        <v>0</v>
      </c>
      <c r="T275" s="18">
        <f t="shared" si="57"/>
        <v>256</v>
      </c>
      <c r="U275" s="2"/>
    </row>
    <row r="276" spans="2:21" ht="15">
      <c r="B276" s="29"/>
      <c r="C276" s="39">
        <f t="shared" si="66"/>
        <v>5</v>
      </c>
      <c r="D276" s="143">
        <f t="shared" si="64"/>
        <v>7</v>
      </c>
      <c r="E276" s="160">
        <f t="shared" si="58"/>
        <v>0</v>
      </c>
      <c r="F276" s="55">
        <f t="shared" si="67"/>
        <v>775.2989356188735</v>
      </c>
      <c r="G276" s="37">
        <f t="shared" si="60"/>
        <v>0</v>
      </c>
      <c r="H276" s="38">
        <f t="shared" si="65"/>
        <v>0</v>
      </c>
      <c r="I276" s="141">
        <f t="shared" si="68"/>
        <v>30</v>
      </c>
      <c r="J276" s="66" t="str">
        <f t="shared" si="59"/>
        <v>Loan repaid</v>
      </c>
      <c r="K276" s="45">
        <f t="shared" si="61"/>
        <v>0</v>
      </c>
      <c r="L276" s="74">
        <f t="shared" si="62"/>
        <v>0</v>
      </c>
      <c r="M276" s="152" t="str">
        <f t="shared" si="70"/>
        <v>Loan terminated</v>
      </c>
      <c r="N276" s="50"/>
      <c r="O276" s="2"/>
      <c r="P276" s="17">
        <f aca="true" t="shared" si="71" ref="P276:P319">IF(R275&lt;F$8*12,PMT(D276/1200,F$8*12-R275,-L275,$A$9),0)</f>
        <v>0</v>
      </c>
      <c r="Q276" s="11"/>
      <c r="R276" s="18">
        <f t="shared" si="69"/>
        <v>257</v>
      </c>
      <c r="S276" s="88">
        <f t="shared" si="63"/>
        <v>0</v>
      </c>
      <c r="T276" s="18">
        <f aca="true" t="shared" si="72" ref="T276:T319">IF(F$9="r",IF(K276&gt;0.1,"",R276),IF(AND(K276&gt;0,R276&lt;$F$8*12),"",R276))</f>
        <v>257</v>
      </c>
      <c r="U276" s="2"/>
    </row>
    <row r="277" spans="2:21" ht="15">
      <c r="B277" s="29"/>
      <c r="C277" s="39">
        <f t="shared" si="66"/>
        <v>6</v>
      </c>
      <c r="D277" s="143">
        <f t="shared" si="64"/>
        <v>7</v>
      </c>
      <c r="E277" s="160">
        <f t="shared" si="58"/>
        <v>0</v>
      </c>
      <c r="F277" s="55">
        <f t="shared" si="67"/>
        <v>775.2989356188735</v>
      </c>
      <c r="G277" s="37">
        <f t="shared" si="60"/>
        <v>0</v>
      </c>
      <c r="H277" s="38">
        <f t="shared" si="65"/>
        <v>0</v>
      </c>
      <c r="I277" s="141">
        <f t="shared" si="68"/>
        <v>30</v>
      </c>
      <c r="J277" s="66" t="str">
        <f t="shared" si="59"/>
        <v>Loan repaid</v>
      </c>
      <c r="K277" s="45">
        <f t="shared" si="61"/>
        <v>0</v>
      </c>
      <c r="L277" s="74">
        <f t="shared" si="62"/>
        <v>0</v>
      </c>
      <c r="M277" s="152" t="str">
        <f t="shared" si="70"/>
        <v>Loan terminated</v>
      </c>
      <c r="N277" s="50"/>
      <c r="O277" s="2"/>
      <c r="P277" s="17">
        <f t="shared" si="71"/>
        <v>0</v>
      </c>
      <c r="Q277" s="11"/>
      <c r="R277" s="18">
        <f t="shared" si="69"/>
        <v>258</v>
      </c>
      <c r="S277" s="88">
        <f t="shared" si="63"/>
        <v>0</v>
      </c>
      <c r="T277" s="18">
        <f t="shared" si="72"/>
        <v>258</v>
      </c>
      <c r="U277" s="2"/>
    </row>
    <row r="278" spans="2:21" ht="15">
      <c r="B278" s="29"/>
      <c r="C278" s="39">
        <f t="shared" si="66"/>
        <v>7</v>
      </c>
      <c r="D278" s="143">
        <f t="shared" si="64"/>
        <v>7</v>
      </c>
      <c r="E278" s="160">
        <f aca="true" t="shared" si="73" ref="E278:E319">IF(F$8*12&gt;R277,MAX(PMT(D278/1200,F$8*12-R277,-K277,A$9)+IF(K277&gt;L277,(K277-L277),0),0),0)</f>
        <v>0</v>
      </c>
      <c r="F278" s="55">
        <f t="shared" si="67"/>
        <v>775.2989356188735</v>
      </c>
      <c r="G278" s="37">
        <f t="shared" si="60"/>
        <v>0</v>
      </c>
      <c r="H278" s="38">
        <f t="shared" si="65"/>
        <v>0</v>
      </c>
      <c r="I278" s="141">
        <f t="shared" si="68"/>
        <v>30</v>
      </c>
      <c r="J278" s="66" t="str">
        <f aca="true" t="shared" si="74" ref="J278:J319">IF(ROUND(IF(R278&gt;$F$8*12,0,K278),0)&gt;ROUND(L278,0),"Pmt too low!",IF(AND(K278&gt;1,R278&lt;=$F$8*12),K278,"Loan repaid"))</f>
        <v>Loan repaid</v>
      </c>
      <c r="K278" s="45">
        <f t="shared" si="61"/>
        <v>0</v>
      </c>
      <c r="L278" s="74">
        <f t="shared" si="62"/>
        <v>0</v>
      </c>
      <c r="M278" s="152" t="str">
        <f t="shared" si="70"/>
        <v>Loan terminated</v>
      </c>
      <c r="N278" s="50"/>
      <c r="O278" s="2"/>
      <c r="P278" s="17">
        <f t="shared" si="71"/>
        <v>0</v>
      </c>
      <c r="Q278" s="11"/>
      <c r="R278" s="18">
        <f t="shared" si="69"/>
        <v>259</v>
      </c>
      <c r="S278" s="88">
        <f t="shared" si="63"/>
        <v>0</v>
      </c>
      <c r="T278" s="18">
        <f t="shared" si="72"/>
        <v>259</v>
      </c>
      <c r="U278" s="2"/>
    </row>
    <row r="279" spans="2:21" ht="15">
      <c r="B279" s="29"/>
      <c r="C279" s="39">
        <f t="shared" si="66"/>
        <v>8</v>
      </c>
      <c r="D279" s="143">
        <f t="shared" si="64"/>
        <v>7</v>
      </c>
      <c r="E279" s="160">
        <f t="shared" si="73"/>
        <v>0</v>
      </c>
      <c r="F279" s="55">
        <f t="shared" si="67"/>
        <v>775.2989356188735</v>
      </c>
      <c r="G279" s="37">
        <f t="shared" si="60"/>
        <v>0</v>
      </c>
      <c r="H279" s="38">
        <f t="shared" si="65"/>
        <v>0</v>
      </c>
      <c r="I279" s="141">
        <f t="shared" si="68"/>
        <v>30</v>
      </c>
      <c r="J279" s="66" t="str">
        <f t="shared" si="74"/>
        <v>Loan repaid</v>
      </c>
      <c r="K279" s="45">
        <f t="shared" si="61"/>
        <v>0</v>
      </c>
      <c r="L279" s="74">
        <f t="shared" si="62"/>
        <v>0</v>
      </c>
      <c r="M279" s="152" t="str">
        <f t="shared" si="70"/>
        <v>Loan terminated</v>
      </c>
      <c r="N279" s="50"/>
      <c r="O279" s="2"/>
      <c r="P279" s="17">
        <f t="shared" si="71"/>
        <v>0</v>
      </c>
      <c r="Q279" s="11"/>
      <c r="R279" s="18">
        <f t="shared" si="69"/>
        <v>260</v>
      </c>
      <c r="S279" s="88">
        <f t="shared" si="63"/>
        <v>0</v>
      </c>
      <c r="T279" s="18">
        <f t="shared" si="72"/>
        <v>260</v>
      </c>
      <c r="U279" s="2"/>
    </row>
    <row r="280" spans="2:21" ht="15">
      <c r="B280" s="29"/>
      <c r="C280" s="39">
        <f t="shared" si="66"/>
        <v>9</v>
      </c>
      <c r="D280" s="143">
        <f t="shared" si="64"/>
        <v>7</v>
      </c>
      <c r="E280" s="160">
        <f t="shared" si="73"/>
        <v>0</v>
      </c>
      <c r="F280" s="55">
        <f t="shared" si="67"/>
        <v>775.2989356188735</v>
      </c>
      <c r="G280" s="37">
        <f t="shared" si="60"/>
        <v>0</v>
      </c>
      <c r="H280" s="38">
        <f t="shared" si="65"/>
        <v>0</v>
      </c>
      <c r="I280" s="141">
        <f t="shared" si="68"/>
        <v>30</v>
      </c>
      <c r="J280" s="66" t="str">
        <f t="shared" si="74"/>
        <v>Loan repaid</v>
      </c>
      <c r="K280" s="45">
        <f t="shared" si="61"/>
        <v>0</v>
      </c>
      <c r="L280" s="74">
        <f t="shared" si="62"/>
        <v>0</v>
      </c>
      <c r="M280" s="152" t="str">
        <f t="shared" si="70"/>
        <v>Loan terminated</v>
      </c>
      <c r="N280" s="50"/>
      <c r="O280" s="2"/>
      <c r="P280" s="17">
        <f t="shared" si="71"/>
        <v>0</v>
      </c>
      <c r="Q280" s="11"/>
      <c r="R280" s="18">
        <f t="shared" si="69"/>
        <v>261</v>
      </c>
      <c r="S280" s="88">
        <f t="shared" si="63"/>
        <v>0</v>
      </c>
      <c r="T280" s="18">
        <f t="shared" si="72"/>
        <v>261</v>
      </c>
      <c r="U280" s="2"/>
    </row>
    <row r="281" spans="2:21" ht="15">
      <c r="B281" s="29"/>
      <c r="C281" s="39">
        <f t="shared" si="66"/>
        <v>10</v>
      </c>
      <c r="D281" s="143">
        <f t="shared" si="64"/>
        <v>7</v>
      </c>
      <c r="E281" s="160">
        <f t="shared" si="73"/>
        <v>0</v>
      </c>
      <c r="F281" s="55">
        <f t="shared" si="67"/>
        <v>775.2989356188735</v>
      </c>
      <c r="G281" s="37">
        <f t="shared" si="60"/>
        <v>0</v>
      </c>
      <c r="H281" s="38">
        <f t="shared" si="65"/>
        <v>0</v>
      </c>
      <c r="I281" s="141">
        <f t="shared" si="68"/>
        <v>30</v>
      </c>
      <c r="J281" s="66" t="str">
        <f t="shared" si="74"/>
        <v>Loan repaid</v>
      </c>
      <c r="K281" s="45">
        <f t="shared" si="61"/>
        <v>0</v>
      </c>
      <c r="L281" s="74">
        <f t="shared" si="62"/>
        <v>0</v>
      </c>
      <c r="M281" s="152" t="str">
        <f t="shared" si="70"/>
        <v>Loan terminated</v>
      </c>
      <c r="N281" s="50"/>
      <c r="O281" s="2"/>
      <c r="P281" s="17">
        <f t="shared" si="71"/>
        <v>0</v>
      </c>
      <c r="Q281" s="11"/>
      <c r="R281" s="18">
        <f t="shared" si="69"/>
        <v>262</v>
      </c>
      <c r="S281" s="88">
        <f t="shared" si="63"/>
        <v>0</v>
      </c>
      <c r="T281" s="18">
        <f t="shared" si="72"/>
        <v>262</v>
      </c>
      <c r="U281" s="2"/>
    </row>
    <row r="282" spans="2:21" ht="15">
      <c r="B282" s="29"/>
      <c r="C282" s="39">
        <f t="shared" si="66"/>
        <v>11</v>
      </c>
      <c r="D282" s="143">
        <f t="shared" si="64"/>
        <v>7</v>
      </c>
      <c r="E282" s="160">
        <f t="shared" si="73"/>
        <v>0</v>
      </c>
      <c r="F282" s="55">
        <f t="shared" si="67"/>
        <v>775.2989356188735</v>
      </c>
      <c r="G282" s="37">
        <f t="shared" si="60"/>
        <v>0</v>
      </c>
      <c r="H282" s="38">
        <f t="shared" si="65"/>
        <v>0</v>
      </c>
      <c r="I282" s="141">
        <f t="shared" si="68"/>
        <v>30</v>
      </c>
      <c r="J282" s="66" t="str">
        <f t="shared" si="74"/>
        <v>Loan repaid</v>
      </c>
      <c r="K282" s="45">
        <f t="shared" si="61"/>
        <v>0</v>
      </c>
      <c r="L282" s="74">
        <f t="shared" si="62"/>
        <v>0</v>
      </c>
      <c r="M282" s="152" t="str">
        <f t="shared" si="70"/>
        <v>Loan terminated</v>
      </c>
      <c r="N282" s="50"/>
      <c r="O282" s="2"/>
      <c r="P282" s="17">
        <f t="shared" si="71"/>
        <v>0</v>
      </c>
      <c r="Q282" s="11"/>
      <c r="R282" s="18">
        <f t="shared" si="69"/>
        <v>263</v>
      </c>
      <c r="S282" s="88">
        <f t="shared" si="63"/>
        <v>0</v>
      </c>
      <c r="T282" s="18">
        <f t="shared" si="72"/>
        <v>263</v>
      </c>
      <c r="U282" s="2"/>
    </row>
    <row r="283" spans="2:21" ht="15">
      <c r="B283" s="77">
        <f>B272</f>
        <v>22</v>
      </c>
      <c r="C283" s="40">
        <f t="shared" si="66"/>
        <v>12</v>
      </c>
      <c r="D283" s="155">
        <f t="shared" si="64"/>
        <v>7</v>
      </c>
      <c r="E283" s="160">
        <f t="shared" si="73"/>
        <v>0</v>
      </c>
      <c r="F283" s="124">
        <f t="shared" si="67"/>
        <v>775.2989356188735</v>
      </c>
      <c r="G283" s="135">
        <f t="shared" si="60"/>
        <v>0</v>
      </c>
      <c r="H283" s="134">
        <f t="shared" si="65"/>
        <v>0</v>
      </c>
      <c r="I283" s="141">
        <f t="shared" si="68"/>
        <v>30</v>
      </c>
      <c r="J283" s="66" t="str">
        <f t="shared" si="74"/>
        <v>Loan repaid</v>
      </c>
      <c r="K283" s="46">
        <f t="shared" si="61"/>
        <v>0</v>
      </c>
      <c r="L283" s="75">
        <f t="shared" si="62"/>
        <v>0</v>
      </c>
      <c r="M283" s="153" t="str">
        <f t="shared" si="70"/>
        <v>Loan terminated</v>
      </c>
      <c r="N283" s="51"/>
      <c r="O283" s="2"/>
      <c r="P283" s="19">
        <f t="shared" si="71"/>
        <v>0</v>
      </c>
      <c r="Q283" s="13"/>
      <c r="R283" s="20">
        <f t="shared" si="69"/>
        <v>264</v>
      </c>
      <c r="S283" s="89">
        <f t="shared" si="63"/>
        <v>0</v>
      </c>
      <c r="T283" s="133">
        <f t="shared" si="72"/>
        <v>264</v>
      </c>
      <c r="U283" s="2"/>
    </row>
    <row r="284" spans="2:21" ht="15">
      <c r="B284" s="28">
        <f>B283+1</f>
        <v>23</v>
      </c>
      <c r="C284" s="147">
        <f t="shared" si="66"/>
        <v>1</v>
      </c>
      <c r="D284" s="142">
        <f t="shared" si="64"/>
        <v>7</v>
      </c>
      <c r="E284" s="159">
        <f t="shared" si="73"/>
        <v>0</v>
      </c>
      <c r="F284" s="56">
        <f>F283*(1+$F$10/100)</f>
        <v>775.2989356188735</v>
      </c>
      <c r="G284" s="37">
        <f t="shared" si="60"/>
        <v>0</v>
      </c>
      <c r="H284" s="35">
        <f t="shared" si="65"/>
        <v>0</v>
      </c>
      <c r="I284" s="140">
        <f t="shared" si="68"/>
        <v>30</v>
      </c>
      <c r="J284" s="65" t="str">
        <f t="shared" si="74"/>
        <v>Loan repaid</v>
      </c>
      <c r="K284" s="44">
        <f t="shared" si="61"/>
        <v>0</v>
      </c>
      <c r="L284" s="73">
        <f t="shared" si="62"/>
        <v>0</v>
      </c>
      <c r="M284" s="151" t="str">
        <f t="shared" si="70"/>
        <v>Loan terminated</v>
      </c>
      <c r="N284" s="49"/>
      <c r="O284" s="3"/>
      <c r="P284" s="17">
        <f t="shared" si="71"/>
        <v>0</v>
      </c>
      <c r="Q284" s="11"/>
      <c r="R284" s="18">
        <f t="shared" si="69"/>
        <v>265</v>
      </c>
      <c r="S284" s="87">
        <f t="shared" si="63"/>
        <v>0</v>
      </c>
      <c r="T284" s="18">
        <f t="shared" si="72"/>
        <v>265</v>
      </c>
      <c r="U284" s="2"/>
    </row>
    <row r="285" spans="2:21" ht="15">
      <c r="B285" s="29"/>
      <c r="C285" s="39">
        <f t="shared" si="66"/>
        <v>2</v>
      </c>
      <c r="D285" s="143">
        <f t="shared" si="64"/>
        <v>7</v>
      </c>
      <c r="E285" s="160">
        <f t="shared" si="73"/>
        <v>0</v>
      </c>
      <c r="F285" s="55">
        <f t="shared" si="67"/>
        <v>775.2989356188735</v>
      </c>
      <c r="G285" s="37">
        <f aca="true" t="shared" si="75" ref="G285:G319">IF($F$8*12&lt;R285,0,MIN(G273,K284))</f>
        <v>0</v>
      </c>
      <c r="H285" s="38">
        <f t="shared" si="65"/>
        <v>0</v>
      </c>
      <c r="I285" s="141">
        <f t="shared" si="68"/>
        <v>30</v>
      </c>
      <c r="J285" s="66" t="str">
        <f t="shared" si="74"/>
        <v>Loan repaid</v>
      </c>
      <c r="K285" s="45">
        <f aca="true" t="shared" si="76" ref="K285:K319">IF(F$8*12&lt;R285,0,MAX((K284-G285)*(1+D285/1200)-F285+H285*(1-D285*(I285-30)/36000),0))</f>
        <v>0</v>
      </c>
      <c r="L285" s="74">
        <f aca="true" t="shared" si="77" ref="L285:L319">IF(F$8*12&lt;R285,0,L284*(1+D285/1200)-P285)</f>
        <v>0</v>
      </c>
      <c r="M285" s="152" t="str">
        <f t="shared" si="70"/>
        <v>Loan terminated</v>
      </c>
      <c r="N285" s="50"/>
      <c r="O285" s="2"/>
      <c r="P285" s="17">
        <f t="shared" si="71"/>
        <v>0</v>
      </c>
      <c r="Q285" s="11"/>
      <c r="R285" s="18">
        <f t="shared" si="69"/>
        <v>266</v>
      </c>
      <c r="S285" s="88">
        <f aca="true" t="shared" si="78" ref="S285:S319">IF(R285&gt;$F$8*12,0,IF(K285&gt;0,F285,(MAX(K284-G285,0))*(1+D285/1200)))</f>
        <v>0</v>
      </c>
      <c r="T285" s="18">
        <f t="shared" si="72"/>
        <v>266</v>
      </c>
      <c r="U285" s="2"/>
    </row>
    <row r="286" spans="2:21" ht="15">
      <c r="B286" s="29"/>
      <c r="C286" s="39">
        <f t="shared" si="66"/>
        <v>3</v>
      </c>
      <c r="D286" s="143">
        <f t="shared" si="64"/>
        <v>7</v>
      </c>
      <c r="E286" s="160">
        <f t="shared" si="73"/>
        <v>0</v>
      </c>
      <c r="F286" s="55">
        <f t="shared" si="67"/>
        <v>775.2989356188735</v>
      </c>
      <c r="G286" s="37">
        <f t="shared" si="75"/>
        <v>0</v>
      </c>
      <c r="H286" s="38">
        <f t="shared" si="65"/>
        <v>0</v>
      </c>
      <c r="I286" s="141">
        <f t="shared" si="68"/>
        <v>30</v>
      </c>
      <c r="J286" s="66" t="str">
        <f t="shared" si="74"/>
        <v>Loan repaid</v>
      </c>
      <c r="K286" s="45">
        <f t="shared" si="76"/>
        <v>0</v>
      </c>
      <c r="L286" s="74">
        <f t="shared" si="77"/>
        <v>0</v>
      </c>
      <c r="M286" s="152" t="str">
        <f t="shared" si="70"/>
        <v>Loan terminated</v>
      </c>
      <c r="N286" s="50"/>
      <c r="O286" s="2"/>
      <c r="P286" s="17">
        <f t="shared" si="71"/>
        <v>0</v>
      </c>
      <c r="Q286" s="11"/>
      <c r="R286" s="18">
        <f t="shared" si="69"/>
        <v>267</v>
      </c>
      <c r="S286" s="88">
        <f t="shared" si="78"/>
        <v>0</v>
      </c>
      <c r="T286" s="18">
        <f t="shared" si="72"/>
        <v>267</v>
      </c>
      <c r="U286" s="2"/>
    </row>
    <row r="287" spans="2:21" ht="15">
      <c r="B287" s="29"/>
      <c r="C287" s="39">
        <f t="shared" si="66"/>
        <v>4</v>
      </c>
      <c r="D287" s="143">
        <f t="shared" si="64"/>
        <v>7</v>
      </c>
      <c r="E287" s="160">
        <f t="shared" si="73"/>
        <v>0</v>
      </c>
      <c r="F287" s="55">
        <f t="shared" si="67"/>
        <v>775.2989356188735</v>
      </c>
      <c r="G287" s="37">
        <f t="shared" si="75"/>
        <v>0</v>
      </c>
      <c r="H287" s="38">
        <f t="shared" si="65"/>
        <v>0</v>
      </c>
      <c r="I287" s="141">
        <f t="shared" si="68"/>
        <v>30</v>
      </c>
      <c r="J287" s="66" t="str">
        <f t="shared" si="74"/>
        <v>Loan repaid</v>
      </c>
      <c r="K287" s="45">
        <f t="shared" si="76"/>
        <v>0</v>
      </c>
      <c r="L287" s="74">
        <f t="shared" si="77"/>
        <v>0</v>
      </c>
      <c r="M287" s="152" t="str">
        <f t="shared" si="70"/>
        <v>Loan terminated</v>
      </c>
      <c r="N287" s="50"/>
      <c r="O287" s="2"/>
      <c r="P287" s="17">
        <f t="shared" si="71"/>
        <v>0</v>
      </c>
      <c r="Q287" s="11"/>
      <c r="R287" s="18">
        <f t="shared" si="69"/>
        <v>268</v>
      </c>
      <c r="S287" s="88">
        <f t="shared" si="78"/>
        <v>0</v>
      </c>
      <c r="T287" s="18">
        <f t="shared" si="72"/>
        <v>268</v>
      </c>
      <c r="U287" s="2"/>
    </row>
    <row r="288" spans="2:21" ht="15">
      <c r="B288" s="29"/>
      <c r="C288" s="39">
        <f t="shared" si="66"/>
        <v>5</v>
      </c>
      <c r="D288" s="143">
        <f aca="true" t="shared" si="79" ref="D288:D319">D287</f>
        <v>7</v>
      </c>
      <c r="E288" s="160">
        <f t="shared" si="73"/>
        <v>0</v>
      </c>
      <c r="F288" s="55">
        <f t="shared" si="67"/>
        <v>775.2989356188735</v>
      </c>
      <c r="G288" s="37">
        <f t="shared" si="75"/>
        <v>0</v>
      </c>
      <c r="H288" s="38">
        <f aca="true" t="shared" si="80" ref="H288:H319">IF($F$8*12&lt;R288,0,IF(G288=K287,0,H276))</f>
        <v>0</v>
      </c>
      <c r="I288" s="141">
        <f t="shared" si="68"/>
        <v>30</v>
      </c>
      <c r="J288" s="66" t="str">
        <f t="shared" si="74"/>
        <v>Loan repaid</v>
      </c>
      <c r="K288" s="45">
        <f t="shared" si="76"/>
        <v>0</v>
      </c>
      <c r="L288" s="74">
        <f t="shared" si="77"/>
        <v>0</v>
      </c>
      <c r="M288" s="152" t="str">
        <f t="shared" si="70"/>
        <v>Loan terminated</v>
      </c>
      <c r="N288" s="50"/>
      <c r="O288" s="2"/>
      <c r="P288" s="17">
        <f t="shared" si="71"/>
        <v>0</v>
      </c>
      <c r="Q288" s="11"/>
      <c r="R288" s="18">
        <f t="shared" si="69"/>
        <v>269</v>
      </c>
      <c r="S288" s="88">
        <f t="shared" si="78"/>
        <v>0</v>
      </c>
      <c r="T288" s="18">
        <f t="shared" si="72"/>
        <v>269</v>
      </c>
      <c r="U288" s="2"/>
    </row>
    <row r="289" spans="2:21" ht="15">
      <c r="B289" s="29"/>
      <c r="C289" s="39">
        <f aca="true" t="shared" si="81" ref="C289:C319">C277</f>
        <v>6</v>
      </c>
      <c r="D289" s="143">
        <f t="shared" si="79"/>
        <v>7</v>
      </c>
      <c r="E289" s="160">
        <f t="shared" si="73"/>
        <v>0</v>
      </c>
      <c r="F289" s="55">
        <f aca="true" t="shared" si="82" ref="F289:F319">F288</f>
        <v>775.2989356188735</v>
      </c>
      <c r="G289" s="37">
        <f t="shared" si="75"/>
        <v>0</v>
      </c>
      <c r="H289" s="38">
        <f t="shared" si="80"/>
        <v>0</v>
      </c>
      <c r="I289" s="141">
        <f t="shared" si="68"/>
        <v>30</v>
      </c>
      <c r="J289" s="66" t="str">
        <f t="shared" si="74"/>
        <v>Loan repaid</v>
      </c>
      <c r="K289" s="45">
        <f t="shared" si="76"/>
        <v>0</v>
      </c>
      <c r="L289" s="74">
        <f t="shared" si="77"/>
        <v>0</v>
      </c>
      <c r="M289" s="152" t="str">
        <f t="shared" si="70"/>
        <v>Loan terminated</v>
      </c>
      <c r="N289" s="50"/>
      <c r="O289" s="2"/>
      <c r="P289" s="17">
        <f t="shared" si="71"/>
        <v>0</v>
      </c>
      <c r="Q289" s="11"/>
      <c r="R289" s="18">
        <f t="shared" si="69"/>
        <v>270</v>
      </c>
      <c r="S289" s="88">
        <f t="shared" si="78"/>
        <v>0</v>
      </c>
      <c r="T289" s="18">
        <f t="shared" si="72"/>
        <v>270</v>
      </c>
      <c r="U289" s="2"/>
    </row>
    <row r="290" spans="2:21" ht="15">
      <c r="B290" s="29"/>
      <c r="C290" s="39">
        <f t="shared" si="81"/>
        <v>7</v>
      </c>
      <c r="D290" s="143">
        <f t="shared" si="79"/>
        <v>7</v>
      </c>
      <c r="E290" s="160">
        <f t="shared" si="73"/>
        <v>0</v>
      </c>
      <c r="F290" s="55">
        <f t="shared" si="82"/>
        <v>775.2989356188735</v>
      </c>
      <c r="G290" s="37">
        <f t="shared" si="75"/>
        <v>0</v>
      </c>
      <c r="H290" s="38">
        <f t="shared" si="80"/>
        <v>0</v>
      </c>
      <c r="I290" s="141">
        <f aca="true" t="shared" si="83" ref="I290:I319">I278</f>
        <v>30</v>
      </c>
      <c r="J290" s="66" t="str">
        <f t="shared" si="74"/>
        <v>Loan repaid</v>
      </c>
      <c r="K290" s="45">
        <f t="shared" si="76"/>
        <v>0</v>
      </c>
      <c r="L290" s="74">
        <f t="shared" si="77"/>
        <v>0</v>
      </c>
      <c r="M290" s="152" t="str">
        <f t="shared" si="70"/>
        <v>Loan terminated</v>
      </c>
      <c r="N290" s="50"/>
      <c r="O290" s="2"/>
      <c r="P290" s="17">
        <f t="shared" si="71"/>
        <v>0</v>
      </c>
      <c r="Q290" s="11"/>
      <c r="R290" s="18">
        <f t="shared" si="69"/>
        <v>271</v>
      </c>
      <c r="S290" s="88">
        <f t="shared" si="78"/>
        <v>0</v>
      </c>
      <c r="T290" s="18">
        <f t="shared" si="72"/>
        <v>271</v>
      </c>
      <c r="U290" s="2"/>
    </row>
    <row r="291" spans="2:21" ht="15">
      <c r="B291" s="29"/>
      <c r="C291" s="39">
        <f t="shared" si="81"/>
        <v>8</v>
      </c>
      <c r="D291" s="143">
        <f t="shared" si="79"/>
        <v>7</v>
      </c>
      <c r="E291" s="160">
        <f t="shared" si="73"/>
        <v>0</v>
      </c>
      <c r="F291" s="55">
        <f t="shared" si="82"/>
        <v>775.2989356188735</v>
      </c>
      <c r="G291" s="37">
        <f t="shared" si="75"/>
        <v>0</v>
      </c>
      <c r="H291" s="38">
        <f t="shared" si="80"/>
        <v>0</v>
      </c>
      <c r="I291" s="141">
        <f t="shared" si="83"/>
        <v>30</v>
      </c>
      <c r="J291" s="66" t="str">
        <f t="shared" si="74"/>
        <v>Loan repaid</v>
      </c>
      <c r="K291" s="45">
        <f t="shared" si="76"/>
        <v>0</v>
      </c>
      <c r="L291" s="74">
        <f t="shared" si="77"/>
        <v>0</v>
      </c>
      <c r="M291" s="152" t="str">
        <f t="shared" si="70"/>
        <v>Loan terminated</v>
      </c>
      <c r="N291" s="50"/>
      <c r="O291" s="2"/>
      <c r="P291" s="17">
        <f t="shared" si="71"/>
        <v>0</v>
      </c>
      <c r="Q291" s="11"/>
      <c r="R291" s="18">
        <f t="shared" si="69"/>
        <v>272</v>
      </c>
      <c r="S291" s="88">
        <f t="shared" si="78"/>
        <v>0</v>
      </c>
      <c r="T291" s="18">
        <f t="shared" si="72"/>
        <v>272</v>
      </c>
      <c r="U291" s="2"/>
    </row>
    <row r="292" spans="2:21" ht="15">
      <c r="B292" s="29"/>
      <c r="C292" s="39">
        <f t="shared" si="81"/>
        <v>9</v>
      </c>
      <c r="D292" s="143">
        <f t="shared" si="79"/>
        <v>7</v>
      </c>
      <c r="E292" s="160">
        <f t="shared" si="73"/>
        <v>0</v>
      </c>
      <c r="F292" s="55">
        <f t="shared" si="82"/>
        <v>775.2989356188735</v>
      </c>
      <c r="G292" s="37">
        <f t="shared" si="75"/>
        <v>0</v>
      </c>
      <c r="H292" s="38">
        <f t="shared" si="80"/>
        <v>0</v>
      </c>
      <c r="I292" s="141">
        <f t="shared" si="83"/>
        <v>30</v>
      </c>
      <c r="J292" s="66" t="str">
        <f t="shared" si="74"/>
        <v>Loan repaid</v>
      </c>
      <c r="K292" s="45">
        <f t="shared" si="76"/>
        <v>0</v>
      </c>
      <c r="L292" s="74">
        <f t="shared" si="77"/>
        <v>0</v>
      </c>
      <c r="M292" s="152" t="str">
        <f t="shared" si="70"/>
        <v>Loan terminated</v>
      </c>
      <c r="N292" s="50"/>
      <c r="O292" s="2"/>
      <c r="P292" s="17">
        <f t="shared" si="71"/>
        <v>0</v>
      </c>
      <c r="Q292" s="11"/>
      <c r="R292" s="18">
        <f t="shared" si="69"/>
        <v>273</v>
      </c>
      <c r="S292" s="88">
        <f t="shared" si="78"/>
        <v>0</v>
      </c>
      <c r="T292" s="18">
        <f t="shared" si="72"/>
        <v>273</v>
      </c>
      <c r="U292" s="2"/>
    </row>
    <row r="293" spans="2:21" ht="15">
      <c r="B293" s="29"/>
      <c r="C293" s="39">
        <f t="shared" si="81"/>
        <v>10</v>
      </c>
      <c r="D293" s="143">
        <f t="shared" si="79"/>
        <v>7</v>
      </c>
      <c r="E293" s="160">
        <f t="shared" si="73"/>
        <v>0</v>
      </c>
      <c r="F293" s="55">
        <f t="shared" si="82"/>
        <v>775.2989356188735</v>
      </c>
      <c r="G293" s="37">
        <f t="shared" si="75"/>
        <v>0</v>
      </c>
      <c r="H293" s="38">
        <f t="shared" si="80"/>
        <v>0</v>
      </c>
      <c r="I293" s="141">
        <f t="shared" si="83"/>
        <v>30</v>
      </c>
      <c r="J293" s="66" t="str">
        <f t="shared" si="74"/>
        <v>Loan repaid</v>
      </c>
      <c r="K293" s="45">
        <f t="shared" si="76"/>
        <v>0</v>
      </c>
      <c r="L293" s="74">
        <f t="shared" si="77"/>
        <v>0</v>
      </c>
      <c r="M293" s="152" t="str">
        <f t="shared" si="70"/>
        <v>Loan terminated</v>
      </c>
      <c r="N293" s="50"/>
      <c r="O293" s="2"/>
      <c r="P293" s="17">
        <f t="shared" si="71"/>
        <v>0</v>
      </c>
      <c r="Q293" s="11"/>
      <c r="R293" s="18">
        <f t="shared" si="69"/>
        <v>274</v>
      </c>
      <c r="S293" s="88">
        <f t="shared" si="78"/>
        <v>0</v>
      </c>
      <c r="T293" s="18">
        <f t="shared" si="72"/>
        <v>274</v>
      </c>
      <c r="U293" s="2"/>
    </row>
    <row r="294" spans="2:21" ht="15">
      <c r="B294" s="29"/>
      <c r="C294" s="39">
        <f t="shared" si="81"/>
        <v>11</v>
      </c>
      <c r="D294" s="143">
        <f t="shared" si="79"/>
        <v>7</v>
      </c>
      <c r="E294" s="160">
        <f t="shared" si="73"/>
        <v>0</v>
      </c>
      <c r="F294" s="55">
        <f t="shared" si="82"/>
        <v>775.2989356188735</v>
      </c>
      <c r="G294" s="37">
        <f t="shared" si="75"/>
        <v>0</v>
      </c>
      <c r="H294" s="38">
        <f t="shared" si="80"/>
        <v>0</v>
      </c>
      <c r="I294" s="141">
        <f t="shared" si="83"/>
        <v>30</v>
      </c>
      <c r="J294" s="66" t="str">
        <f t="shared" si="74"/>
        <v>Loan repaid</v>
      </c>
      <c r="K294" s="45">
        <f t="shared" si="76"/>
        <v>0</v>
      </c>
      <c r="L294" s="74">
        <f t="shared" si="77"/>
        <v>0</v>
      </c>
      <c r="M294" s="152" t="str">
        <f t="shared" si="70"/>
        <v>Loan terminated</v>
      </c>
      <c r="N294" s="50"/>
      <c r="O294" s="2"/>
      <c r="P294" s="17">
        <f t="shared" si="71"/>
        <v>0</v>
      </c>
      <c r="Q294" s="11"/>
      <c r="R294" s="18">
        <f t="shared" si="69"/>
        <v>275</v>
      </c>
      <c r="S294" s="88">
        <f t="shared" si="78"/>
        <v>0</v>
      </c>
      <c r="T294" s="18">
        <f t="shared" si="72"/>
        <v>275</v>
      </c>
      <c r="U294" s="2"/>
    </row>
    <row r="295" spans="2:21" ht="15">
      <c r="B295" s="77">
        <f>B284</f>
        <v>23</v>
      </c>
      <c r="C295" s="40">
        <f t="shared" si="81"/>
        <v>12</v>
      </c>
      <c r="D295" s="155">
        <f t="shared" si="79"/>
        <v>7</v>
      </c>
      <c r="E295" s="160">
        <f t="shared" si="73"/>
        <v>0</v>
      </c>
      <c r="F295" s="124">
        <f t="shared" si="82"/>
        <v>775.2989356188735</v>
      </c>
      <c r="G295" s="135">
        <f t="shared" si="75"/>
        <v>0</v>
      </c>
      <c r="H295" s="134">
        <f t="shared" si="80"/>
        <v>0</v>
      </c>
      <c r="I295" s="141">
        <f t="shared" si="83"/>
        <v>30</v>
      </c>
      <c r="J295" s="66" t="str">
        <f t="shared" si="74"/>
        <v>Loan repaid</v>
      </c>
      <c r="K295" s="46">
        <f t="shared" si="76"/>
        <v>0</v>
      </c>
      <c r="L295" s="75">
        <f t="shared" si="77"/>
        <v>0</v>
      </c>
      <c r="M295" s="153" t="str">
        <f t="shared" si="70"/>
        <v>Loan terminated</v>
      </c>
      <c r="N295" s="51"/>
      <c r="O295" s="2"/>
      <c r="P295" s="19">
        <f t="shared" si="71"/>
        <v>0</v>
      </c>
      <c r="Q295" s="13"/>
      <c r="R295" s="20">
        <f t="shared" si="69"/>
        <v>276</v>
      </c>
      <c r="S295" s="89">
        <f t="shared" si="78"/>
        <v>0</v>
      </c>
      <c r="T295" s="133">
        <f t="shared" si="72"/>
        <v>276</v>
      </c>
      <c r="U295" s="2"/>
    </row>
    <row r="296" spans="2:21" ht="15">
      <c r="B296" s="28">
        <f>B295+1</f>
        <v>24</v>
      </c>
      <c r="C296" s="147">
        <f t="shared" si="81"/>
        <v>1</v>
      </c>
      <c r="D296" s="142">
        <f t="shared" si="79"/>
        <v>7</v>
      </c>
      <c r="E296" s="159">
        <f t="shared" si="73"/>
        <v>0</v>
      </c>
      <c r="F296" s="56">
        <f>F295*(1+$F$10/100)</f>
        <v>775.2989356188735</v>
      </c>
      <c r="G296" s="37">
        <f t="shared" si="75"/>
        <v>0</v>
      </c>
      <c r="H296" s="35">
        <f t="shared" si="80"/>
        <v>0</v>
      </c>
      <c r="I296" s="140">
        <f t="shared" si="83"/>
        <v>30</v>
      </c>
      <c r="J296" s="65" t="str">
        <f t="shared" si="74"/>
        <v>Loan repaid</v>
      </c>
      <c r="K296" s="44">
        <f t="shared" si="76"/>
        <v>0</v>
      </c>
      <c r="L296" s="73">
        <f t="shared" si="77"/>
        <v>0</v>
      </c>
      <c r="M296" s="151" t="str">
        <f t="shared" si="70"/>
        <v>Loan terminated</v>
      </c>
      <c r="N296" s="49"/>
      <c r="O296" s="3"/>
      <c r="P296" s="17">
        <f t="shared" si="71"/>
        <v>0</v>
      </c>
      <c r="Q296" s="11"/>
      <c r="R296" s="18">
        <f t="shared" si="69"/>
        <v>277</v>
      </c>
      <c r="S296" s="87">
        <f t="shared" si="78"/>
        <v>0</v>
      </c>
      <c r="T296" s="18">
        <f t="shared" si="72"/>
        <v>277</v>
      </c>
      <c r="U296" s="2"/>
    </row>
    <row r="297" spans="2:21" ht="15">
      <c r="B297" s="29"/>
      <c r="C297" s="39">
        <f t="shared" si="81"/>
        <v>2</v>
      </c>
      <c r="D297" s="143">
        <f t="shared" si="79"/>
        <v>7</v>
      </c>
      <c r="E297" s="160">
        <f t="shared" si="73"/>
        <v>0</v>
      </c>
      <c r="F297" s="55">
        <f t="shared" si="82"/>
        <v>775.2989356188735</v>
      </c>
      <c r="G297" s="37">
        <f t="shared" si="75"/>
        <v>0</v>
      </c>
      <c r="H297" s="38">
        <f t="shared" si="80"/>
        <v>0</v>
      </c>
      <c r="I297" s="141">
        <f t="shared" si="83"/>
        <v>30</v>
      </c>
      <c r="J297" s="66" t="str">
        <f t="shared" si="74"/>
        <v>Loan repaid</v>
      </c>
      <c r="K297" s="45">
        <f t="shared" si="76"/>
        <v>0</v>
      </c>
      <c r="L297" s="74">
        <f t="shared" si="77"/>
        <v>0</v>
      </c>
      <c r="M297" s="152" t="str">
        <f t="shared" si="70"/>
        <v>Loan terminated</v>
      </c>
      <c r="N297" s="50"/>
      <c r="O297" s="2"/>
      <c r="P297" s="17">
        <f t="shared" si="71"/>
        <v>0</v>
      </c>
      <c r="Q297" s="11"/>
      <c r="R297" s="18">
        <f t="shared" si="69"/>
        <v>278</v>
      </c>
      <c r="S297" s="88">
        <f t="shared" si="78"/>
        <v>0</v>
      </c>
      <c r="T297" s="18">
        <f t="shared" si="72"/>
        <v>278</v>
      </c>
      <c r="U297" s="2"/>
    </row>
    <row r="298" spans="2:21" ht="15">
      <c r="B298" s="29"/>
      <c r="C298" s="39">
        <f t="shared" si="81"/>
        <v>3</v>
      </c>
      <c r="D298" s="143">
        <f t="shared" si="79"/>
        <v>7</v>
      </c>
      <c r="E298" s="160">
        <f t="shared" si="73"/>
        <v>0</v>
      </c>
      <c r="F298" s="55">
        <f t="shared" si="82"/>
        <v>775.2989356188735</v>
      </c>
      <c r="G298" s="37">
        <f t="shared" si="75"/>
        <v>0</v>
      </c>
      <c r="H298" s="38">
        <f t="shared" si="80"/>
        <v>0</v>
      </c>
      <c r="I298" s="141">
        <f t="shared" si="83"/>
        <v>30</v>
      </c>
      <c r="J298" s="66" t="str">
        <f t="shared" si="74"/>
        <v>Loan repaid</v>
      </c>
      <c r="K298" s="45">
        <f t="shared" si="76"/>
        <v>0</v>
      </c>
      <c r="L298" s="74">
        <f t="shared" si="77"/>
        <v>0</v>
      </c>
      <c r="M298" s="152" t="str">
        <f t="shared" si="70"/>
        <v>Loan terminated</v>
      </c>
      <c r="N298" s="50"/>
      <c r="O298" s="2"/>
      <c r="P298" s="17">
        <f t="shared" si="71"/>
        <v>0</v>
      </c>
      <c r="Q298" s="11"/>
      <c r="R298" s="18">
        <f t="shared" si="69"/>
        <v>279</v>
      </c>
      <c r="S298" s="88">
        <f t="shared" si="78"/>
        <v>0</v>
      </c>
      <c r="T298" s="18">
        <f t="shared" si="72"/>
        <v>279</v>
      </c>
      <c r="U298" s="2"/>
    </row>
    <row r="299" spans="2:21" ht="15">
      <c r="B299" s="29"/>
      <c r="C299" s="39">
        <f t="shared" si="81"/>
        <v>4</v>
      </c>
      <c r="D299" s="143">
        <f t="shared" si="79"/>
        <v>7</v>
      </c>
      <c r="E299" s="160">
        <f t="shared" si="73"/>
        <v>0</v>
      </c>
      <c r="F299" s="55">
        <f t="shared" si="82"/>
        <v>775.2989356188735</v>
      </c>
      <c r="G299" s="37">
        <f t="shared" si="75"/>
        <v>0</v>
      </c>
      <c r="H299" s="38">
        <f t="shared" si="80"/>
        <v>0</v>
      </c>
      <c r="I299" s="141">
        <f t="shared" si="83"/>
        <v>30</v>
      </c>
      <c r="J299" s="66" t="str">
        <f t="shared" si="74"/>
        <v>Loan repaid</v>
      </c>
      <c r="K299" s="45">
        <f t="shared" si="76"/>
        <v>0</v>
      </c>
      <c r="L299" s="74">
        <f t="shared" si="77"/>
        <v>0</v>
      </c>
      <c r="M299" s="152" t="str">
        <f t="shared" si="70"/>
        <v>Loan terminated</v>
      </c>
      <c r="N299" s="50"/>
      <c r="O299" s="2"/>
      <c r="P299" s="17">
        <f t="shared" si="71"/>
        <v>0</v>
      </c>
      <c r="Q299" s="11"/>
      <c r="R299" s="18">
        <f t="shared" si="69"/>
        <v>280</v>
      </c>
      <c r="S299" s="88">
        <f t="shared" si="78"/>
        <v>0</v>
      </c>
      <c r="T299" s="18">
        <f t="shared" si="72"/>
        <v>280</v>
      </c>
      <c r="U299" s="2"/>
    </row>
    <row r="300" spans="2:21" ht="15">
      <c r="B300" s="29"/>
      <c r="C300" s="39">
        <f t="shared" si="81"/>
        <v>5</v>
      </c>
      <c r="D300" s="143">
        <f t="shared" si="79"/>
        <v>7</v>
      </c>
      <c r="E300" s="160">
        <f t="shared" si="73"/>
        <v>0</v>
      </c>
      <c r="F300" s="55">
        <f t="shared" si="82"/>
        <v>775.2989356188735</v>
      </c>
      <c r="G300" s="37">
        <f t="shared" si="75"/>
        <v>0</v>
      </c>
      <c r="H300" s="38">
        <f t="shared" si="80"/>
        <v>0</v>
      </c>
      <c r="I300" s="141">
        <f t="shared" si="83"/>
        <v>30</v>
      </c>
      <c r="J300" s="66" t="str">
        <f t="shared" si="74"/>
        <v>Loan repaid</v>
      </c>
      <c r="K300" s="45">
        <f t="shared" si="76"/>
        <v>0</v>
      </c>
      <c r="L300" s="74">
        <f t="shared" si="77"/>
        <v>0</v>
      </c>
      <c r="M300" s="152" t="str">
        <f t="shared" si="70"/>
        <v>Loan terminated</v>
      </c>
      <c r="N300" s="50"/>
      <c r="O300" s="2"/>
      <c r="P300" s="17">
        <f t="shared" si="71"/>
        <v>0</v>
      </c>
      <c r="Q300" s="11"/>
      <c r="R300" s="18">
        <f aca="true" t="shared" si="84" ref="R300:R319">R299+1</f>
        <v>281</v>
      </c>
      <c r="S300" s="88">
        <f t="shared" si="78"/>
        <v>0</v>
      </c>
      <c r="T300" s="18">
        <f t="shared" si="72"/>
        <v>281</v>
      </c>
      <c r="U300" s="2"/>
    </row>
    <row r="301" spans="2:21" ht="15">
      <c r="B301" s="29"/>
      <c r="C301" s="39">
        <f t="shared" si="81"/>
        <v>6</v>
      </c>
      <c r="D301" s="143">
        <f t="shared" si="79"/>
        <v>7</v>
      </c>
      <c r="E301" s="160">
        <f t="shared" si="73"/>
        <v>0</v>
      </c>
      <c r="F301" s="55">
        <f t="shared" si="82"/>
        <v>775.2989356188735</v>
      </c>
      <c r="G301" s="37">
        <f t="shared" si="75"/>
        <v>0</v>
      </c>
      <c r="H301" s="38">
        <f t="shared" si="80"/>
        <v>0</v>
      </c>
      <c r="I301" s="141">
        <f t="shared" si="83"/>
        <v>30</v>
      </c>
      <c r="J301" s="66" t="str">
        <f t="shared" si="74"/>
        <v>Loan repaid</v>
      </c>
      <c r="K301" s="45">
        <f t="shared" si="76"/>
        <v>0</v>
      </c>
      <c r="L301" s="74">
        <f t="shared" si="77"/>
        <v>0</v>
      </c>
      <c r="M301" s="152" t="str">
        <f t="shared" si="70"/>
        <v>Loan terminated</v>
      </c>
      <c r="N301" s="50"/>
      <c r="O301" s="2"/>
      <c r="P301" s="17">
        <f t="shared" si="71"/>
        <v>0</v>
      </c>
      <c r="Q301" s="11"/>
      <c r="R301" s="18">
        <f t="shared" si="84"/>
        <v>282</v>
      </c>
      <c r="S301" s="88">
        <f t="shared" si="78"/>
        <v>0</v>
      </c>
      <c r="T301" s="18">
        <f t="shared" si="72"/>
        <v>282</v>
      </c>
      <c r="U301" s="2"/>
    </row>
    <row r="302" spans="2:21" ht="15">
      <c r="B302" s="29"/>
      <c r="C302" s="39">
        <f t="shared" si="81"/>
        <v>7</v>
      </c>
      <c r="D302" s="143">
        <f t="shared" si="79"/>
        <v>7</v>
      </c>
      <c r="E302" s="160">
        <f t="shared" si="73"/>
        <v>0</v>
      </c>
      <c r="F302" s="55">
        <f t="shared" si="82"/>
        <v>775.2989356188735</v>
      </c>
      <c r="G302" s="37">
        <f t="shared" si="75"/>
        <v>0</v>
      </c>
      <c r="H302" s="38">
        <f t="shared" si="80"/>
        <v>0</v>
      </c>
      <c r="I302" s="141">
        <f t="shared" si="83"/>
        <v>30</v>
      </c>
      <c r="J302" s="66" t="str">
        <f t="shared" si="74"/>
        <v>Loan repaid</v>
      </c>
      <c r="K302" s="45">
        <f t="shared" si="76"/>
        <v>0</v>
      </c>
      <c r="L302" s="74">
        <f t="shared" si="77"/>
        <v>0</v>
      </c>
      <c r="M302" s="152" t="str">
        <f t="shared" si="70"/>
        <v>Loan terminated</v>
      </c>
      <c r="N302" s="50"/>
      <c r="O302" s="2"/>
      <c r="P302" s="17">
        <f t="shared" si="71"/>
        <v>0</v>
      </c>
      <c r="Q302" s="11"/>
      <c r="R302" s="18">
        <f t="shared" si="84"/>
        <v>283</v>
      </c>
      <c r="S302" s="88">
        <f t="shared" si="78"/>
        <v>0</v>
      </c>
      <c r="T302" s="18">
        <f t="shared" si="72"/>
        <v>283</v>
      </c>
      <c r="U302" s="2"/>
    </row>
    <row r="303" spans="2:21" ht="15">
      <c r="B303" s="29"/>
      <c r="C303" s="39">
        <f t="shared" si="81"/>
        <v>8</v>
      </c>
      <c r="D303" s="143">
        <f t="shared" si="79"/>
        <v>7</v>
      </c>
      <c r="E303" s="160">
        <f t="shared" si="73"/>
        <v>0</v>
      </c>
      <c r="F303" s="55">
        <f t="shared" si="82"/>
        <v>775.2989356188735</v>
      </c>
      <c r="G303" s="37">
        <f t="shared" si="75"/>
        <v>0</v>
      </c>
      <c r="H303" s="38">
        <f t="shared" si="80"/>
        <v>0</v>
      </c>
      <c r="I303" s="141">
        <f t="shared" si="83"/>
        <v>30</v>
      </c>
      <c r="J303" s="66" t="str">
        <f t="shared" si="74"/>
        <v>Loan repaid</v>
      </c>
      <c r="K303" s="45">
        <f t="shared" si="76"/>
        <v>0</v>
      </c>
      <c r="L303" s="74">
        <f t="shared" si="77"/>
        <v>0</v>
      </c>
      <c r="M303" s="152" t="str">
        <f t="shared" si="70"/>
        <v>Loan terminated</v>
      </c>
      <c r="N303" s="50"/>
      <c r="O303" s="2"/>
      <c r="P303" s="17">
        <f t="shared" si="71"/>
        <v>0</v>
      </c>
      <c r="Q303" s="11"/>
      <c r="R303" s="18">
        <f t="shared" si="84"/>
        <v>284</v>
      </c>
      <c r="S303" s="88">
        <f t="shared" si="78"/>
        <v>0</v>
      </c>
      <c r="T303" s="18">
        <f t="shared" si="72"/>
        <v>284</v>
      </c>
      <c r="U303" s="2"/>
    </row>
    <row r="304" spans="2:21" ht="15">
      <c r="B304" s="29"/>
      <c r="C304" s="39">
        <f t="shared" si="81"/>
        <v>9</v>
      </c>
      <c r="D304" s="143">
        <f t="shared" si="79"/>
        <v>7</v>
      </c>
      <c r="E304" s="160">
        <f t="shared" si="73"/>
        <v>0</v>
      </c>
      <c r="F304" s="55">
        <f t="shared" si="82"/>
        <v>775.2989356188735</v>
      </c>
      <c r="G304" s="37">
        <f t="shared" si="75"/>
        <v>0</v>
      </c>
      <c r="H304" s="38">
        <f t="shared" si="80"/>
        <v>0</v>
      </c>
      <c r="I304" s="141">
        <f t="shared" si="83"/>
        <v>30</v>
      </c>
      <c r="J304" s="66" t="str">
        <f t="shared" si="74"/>
        <v>Loan repaid</v>
      </c>
      <c r="K304" s="45">
        <f t="shared" si="76"/>
        <v>0</v>
      </c>
      <c r="L304" s="74">
        <f t="shared" si="77"/>
        <v>0</v>
      </c>
      <c r="M304" s="152" t="str">
        <f t="shared" si="70"/>
        <v>Loan terminated</v>
      </c>
      <c r="N304" s="50"/>
      <c r="O304" s="2"/>
      <c r="P304" s="17">
        <f t="shared" si="71"/>
        <v>0</v>
      </c>
      <c r="Q304" s="11"/>
      <c r="R304" s="18">
        <f t="shared" si="84"/>
        <v>285</v>
      </c>
      <c r="S304" s="88">
        <f t="shared" si="78"/>
        <v>0</v>
      </c>
      <c r="T304" s="18">
        <f t="shared" si="72"/>
        <v>285</v>
      </c>
      <c r="U304" s="2"/>
    </row>
    <row r="305" spans="2:21" ht="15">
      <c r="B305" s="29"/>
      <c r="C305" s="39">
        <f t="shared" si="81"/>
        <v>10</v>
      </c>
      <c r="D305" s="143">
        <f t="shared" si="79"/>
        <v>7</v>
      </c>
      <c r="E305" s="160">
        <f t="shared" si="73"/>
        <v>0</v>
      </c>
      <c r="F305" s="55">
        <f t="shared" si="82"/>
        <v>775.2989356188735</v>
      </c>
      <c r="G305" s="37">
        <f t="shared" si="75"/>
        <v>0</v>
      </c>
      <c r="H305" s="38">
        <f t="shared" si="80"/>
        <v>0</v>
      </c>
      <c r="I305" s="141">
        <f t="shared" si="83"/>
        <v>30</v>
      </c>
      <c r="J305" s="66" t="str">
        <f t="shared" si="74"/>
        <v>Loan repaid</v>
      </c>
      <c r="K305" s="45">
        <f t="shared" si="76"/>
        <v>0</v>
      </c>
      <c r="L305" s="74">
        <f t="shared" si="77"/>
        <v>0</v>
      </c>
      <c r="M305" s="152" t="str">
        <f t="shared" si="70"/>
        <v>Loan terminated</v>
      </c>
      <c r="N305" s="50"/>
      <c r="O305" s="2"/>
      <c r="P305" s="17">
        <f t="shared" si="71"/>
        <v>0</v>
      </c>
      <c r="Q305" s="11"/>
      <c r="R305" s="18">
        <f t="shared" si="84"/>
        <v>286</v>
      </c>
      <c r="S305" s="88">
        <f t="shared" si="78"/>
        <v>0</v>
      </c>
      <c r="T305" s="18">
        <f t="shared" si="72"/>
        <v>286</v>
      </c>
      <c r="U305" s="2"/>
    </row>
    <row r="306" spans="2:21" ht="15">
      <c r="B306" s="29"/>
      <c r="C306" s="39">
        <f t="shared" si="81"/>
        <v>11</v>
      </c>
      <c r="D306" s="143">
        <f t="shared" si="79"/>
        <v>7</v>
      </c>
      <c r="E306" s="160">
        <f t="shared" si="73"/>
        <v>0</v>
      </c>
      <c r="F306" s="55">
        <f t="shared" si="82"/>
        <v>775.2989356188735</v>
      </c>
      <c r="G306" s="37">
        <f t="shared" si="75"/>
        <v>0</v>
      </c>
      <c r="H306" s="38">
        <f t="shared" si="80"/>
        <v>0</v>
      </c>
      <c r="I306" s="141">
        <f t="shared" si="83"/>
        <v>30</v>
      </c>
      <c r="J306" s="66" t="str">
        <f t="shared" si="74"/>
        <v>Loan repaid</v>
      </c>
      <c r="K306" s="45">
        <f t="shared" si="76"/>
        <v>0</v>
      </c>
      <c r="L306" s="74">
        <f t="shared" si="77"/>
        <v>0</v>
      </c>
      <c r="M306" s="152" t="str">
        <f t="shared" si="70"/>
        <v>Loan terminated</v>
      </c>
      <c r="N306" s="50"/>
      <c r="O306" s="2"/>
      <c r="P306" s="17">
        <f t="shared" si="71"/>
        <v>0</v>
      </c>
      <c r="Q306" s="11"/>
      <c r="R306" s="18">
        <f t="shared" si="84"/>
        <v>287</v>
      </c>
      <c r="S306" s="88">
        <f t="shared" si="78"/>
        <v>0</v>
      </c>
      <c r="T306" s="18">
        <f t="shared" si="72"/>
        <v>287</v>
      </c>
      <c r="U306" s="2"/>
    </row>
    <row r="307" spans="2:21" ht="15">
      <c r="B307" s="77">
        <f>B296</f>
        <v>24</v>
      </c>
      <c r="C307" s="40">
        <f t="shared" si="81"/>
        <v>12</v>
      </c>
      <c r="D307" s="155">
        <f t="shared" si="79"/>
        <v>7</v>
      </c>
      <c r="E307" s="160">
        <f t="shared" si="73"/>
        <v>0</v>
      </c>
      <c r="F307" s="124">
        <f t="shared" si="82"/>
        <v>775.2989356188735</v>
      </c>
      <c r="G307" s="135">
        <f t="shared" si="75"/>
        <v>0</v>
      </c>
      <c r="H307" s="134">
        <f t="shared" si="80"/>
        <v>0</v>
      </c>
      <c r="I307" s="141">
        <f t="shared" si="83"/>
        <v>30</v>
      </c>
      <c r="J307" s="66" t="str">
        <f t="shared" si="74"/>
        <v>Loan repaid</v>
      </c>
      <c r="K307" s="46">
        <f t="shared" si="76"/>
        <v>0</v>
      </c>
      <c r="L307" s="75">
        <f t="shared" si="77"/>
        <v>0</v>
      </c>
      <c r="M307" s="153" t="str">
        <f t="shared" si="70"/>
        <v>Loan terminated</v>
      </c>
      <c r="N307" s="51"/>
      <c r="O307" s="2"/>
      <c r="P307" s="19">
        <f t="shared" si="71"/>
        <v>0</v>
      </c>
      <c r="Q307" s="13"/>
      <c r="R307" s="20">
        <f t="shared" si="84"/>
        <v>288</v>
      </c>
      <c r="S307" s="89">
        <f t="shared" si="78"/>
        <v>0</v>
      </c>
      <c r="T307" s="133">
        <f t="shared" si="72"/>
        <v>288</v>
      </c>
      <c r="U307" s="2"/>
    </row>
    <row r="308" spans="2:21" ht="15">
      <c r="B308" s="91">
        <f>B307+1</f>
        <v>25</v>
      </c>
      <c r="C308" s="147">
        <f t="shared" si="81"/>
        <v>1</v>
      </c>
      <c r="D308" s="142">
        <f t="shared" si="79"/>
        <v>7</v>
      </c>
      <c r="E308" s="159">
        <f t="shared" si="73"/>
        <v>0</v>
      </c>
      <c r="F308" s="56">
        <f>F307*(1+$F$10/100)</f>
        <v>775.2989356188735</v>
      </c>
      <c r="G308" s="37">
        <f t="shared" si="75"/>
        <v>0</v>
      </c>
      <c r="H308" s="35">
        <f t="shared" si="80"/>
        <v>0</v>
      </c>
      <c r="I308" s="140">
        <f t="shared" si="83"/>
        <v>30</v>
      </c>
      <c r="J308" s="65" t="str">
        <f t="shared" si="74"/>
        <v>Loan repaid</v>
      </c>
      <c r="K308" s="44">
        <f t="shared" si="76"/>
        <v>0</v>
      </c>
      <c r="L308" s="73">
        <f t="shared" si="77"/>
        <v>0</v>
      </c>
      <c r="M308" s="151" t="str">
        <f t="shared" si="70"/>
        <v>Loan terminated</v>
      </c>
      <c r="N308" s="49"/>
      <c r="O308" s="3"/>
      <c r="P308" s="17">
        <f t="shared" si="71"/>
        <v>0</v>
      </c>
      <c r="Q308" s="11"/>
      <c r="R308" s="18">
        <f t="shared" si="84"/>
        <v>289</v>
      </c>
      <c r="S308" s="87">
        <f t="shared" si="78"/>
        <v>0</v>
      </c>
      <c r="T308" s="18">
        <f t="shared" si="72"/>
        <v>289</v>
      </c>
      <c r="U308" s="2"/>
    </row>
    <row r="309" spans="2:21" ht="15">
      <c r="B309" s="29"/>
      <c r="C309" s="39">
        <f t="shared" si="81"/>
        <v>2</v>
      </c>
      <c r="D309" s="143">
        <f t="shared" si="79"/>
        <v>7</v>
      </c>
      <c r="E309" s="160">
        <f t="shared" si="73"/>
        <v>0</v>
      </c>
      <c r="F309" s="55">
        <f t="shared" si="82"/>
        <v>775.2989356188735</v>
      </c>
      <c r="G309" s="37">
        <f t="shared" si="75"/>
        <v>0</v>
      </c>
      <c r="H309" s="38">
        <f t="shared" si="80"/>
        <v>0</v>
      </c>
      <c r="I309" s="141">
        <f t="shared" si="83"/>
        <v>30</v>
      </c>
      <c r="J309" s="66" t="str">
        <f t="shared" si="74"/>
        <v>Loan repaid</v>
      </c>
      <c r="K309" s="45">
        <f t="shared" si="76"/>
        <v>0</v>
      </c>
      <c r="L309" s="74">
        <f t="shared" si="77"/>
        <v>0</v>
      </c>
      <c r="M309" s="152" t="str">
        <f t="shared" si="70"/>
        <v>Loan terminated</v>
      </c>
      <c r="N309" s="50"/>
      <c r="O309" s="2"/>
      <c r="P309" s="17">
        <f t="shared" si="71"/>
        <v>0</v>
      </c>
      <c r="Q309" s="11"/>
      <c r="R309" s="18">
        <f t="shared" si="84"/>
        <v>290</v>
      </c>
      <c r="S309" s="88">
        <f t="shared" si="78"/>
        <v>0</v>
      </c>
      <c r="T309" s="18">
        <f t="shared" si="72"/>
        <v>290</v>
      </c>
      <c r="U309" s="2"/>
    </row>
    <row r="310" spans="2:21" ht="15">
      <c r="B310" s="29"/>
      <c r="C310" s="39">
        <f t="shared" si="81"/>
        <v>3</v>
      </c>
      <c r="D310" s="143">
        <f t="shared" si="79"/>
        <v>7</v>
      </c>
      <c r="E310" s="160">
        <f t="shared" si="73"/>
        <v>0</v>
      </c>
      <c r="F310" s="55">
        <f t="shared" si="82"/>
        <v>775.2989356188735</v>
      </c>
      <c r="G310" s="37">
        <f t="shared" si="75"/>
        <v>0</v>
      </c>
      <c r="H310" s="38">
        <f t="shared" si="80"/>
        <v>0</v>
      </c>
      <c r="I310" s="141">
        <f t="shared" si="83"/>
        <v>30</v>
      </c>
      <c r="J310" s="66" t="str">
        <f t="shared" si="74"/>
        <v>Loan repaid</v>
      </c>
      <c r="K310" s="45">
        <f t="shared" si="76"/>
        <v>0</v>
      </c>
      <c r="L310" s="74">
        <f t="shared" si="77"/>
        <v>0</v>
      </c>
      <c r="M310" s="152" t="str">
        <f t="shared" si="70"/>
        <v>Loan terminated</v>
      </c>
      <c r="N310" s="50"/>
      <c r="O310" s="2"/>
      <c r="P310" s="17">
        <f t="shared" si="71"/>
        <v>0</v>
      </c>
      <c r="Q310" s="11"/>
      <c r="R310" s="18">
        <f t="shared" si="84"/>
        <v>291</v>
      </c>
      <c r="S310" s="88">
        <f t="shared" si="78"/>
        <v>0</v>
      </c>
      <c r="T310" s="18">
        <f t="shared" si="72"/>
        <v>291</v>
      </c>
      <c r="U310" s="2"/>
    </row>
    <row r="311" spans="2:21" ht="15">
      <c r="B311" s="29"/>
      <c r="C311" s="39">
        <f t="shared" si="81"/>
        <v>4</v>
      </c>
      <c r="D311" s="143">
        <f t="shared" si="79"/>
        <v>7</v>
      </c>
      <c r="E311" s="160">
        <f t="shared" si="73"/>
        <v>0</v>
      </c>
      <c r="F311" s="55">
        <f t="shared" si="82"/>
        <v>775.2989356188735</v>
      </c>
      <c r="G311" s="37">
        <f t="shared" si="75"/>
        <v>0</v>
      </c>
      <c r="H311" s="38">
        <f t="shared" si="80"/>
        <v>0</v>
      </c>
      <c r="I311" s="141">
        <f t="shared" si="83"/>
        <v>30</v>
      </c>
      <c r="J311" s="66" t="str">
        <f t="shared" si="74"/>
        <v>Loan repaid</v>
      </c>
      <c r="K311" s="45">
        <f t="shared" si="76"/>
        <v>0</v>
      </c>
      <c r="L311" s="74">
        <f t="shared" si="77"/>
        <v>0</v>
      </c>
      <c r="M311" s="152" t="str">
        <f t="shared" si="70"/>
        <v>Loan terminated</v>
      </c>
      <c r="N311" s="50"/>
      <c r="O311" s="2"/>
      <c r="P311" s="17">
        <f t="shared" si="71"/>
        <v>0</v>
      </c>
      <c r="Q311" s="11"/>
      <c r="R311" s="18">
        <f t="shared" si="84"/>
        <v>292</v>
      </c>
      <c r="S311" s="88">
        <f t="shared" si="78"/>
        <v>0</v>
      </c>
      <c r="T311" s="18">
        <f t="shared" si="72"/>
        <v>292</v>
      </c>
      <c r="U311" s="2"/>
    </row>
    <row r="312" spans="2:21" ht="15">
      <c r="B312" s="29"/>
      <c r="C312" s="39">
        <f t="shared" si="81"/>
        <v>5</v>
      </c>
      <c r="D312" s="143">
        <f t="shared" si="79"/>
        <v>7</v>
      </c>
      <c r="E312" s="160">
        <f t="shared" si="73"/>
        <v>0</v>
      </c>
      <c r="F312" s="55">
        <f t="shared" si="82"/>
        <v>775.2989356188735</v>
      </c>
      <c r="G312" s="37">
        <f t="shared" si="75"/>
        <v>0</v>
      </c>
      <c r="H312" s="38">
        <f t="shared" si="80"/>
        <v>0</v>
      </c>
      <c r="I312" s="141">
        <f t="shared" si="83"/>
        <v>30</v>
      </c>
      <c r="J312" s="66" t="str">
        <f t="shared" si="74"/>
        <v>Loan repaid</v>
      </c>
      <c r="K312" s="45">
        <f t="shared" si="76"/>
        <v>0</v>
      </c>
      <c r="L312" s="74">
        <f t="shared" si="77"/>
        <v>0</v>
      </c>
      <c r="M312" s="152" t="str">
        <f t="shared" si="70"/>
        <v>Loan terminated</v>
      </c>
      <c r="N312" s="50"/>
      <c r="O312" s="2"/>
      <c r="P312" s="17">
        <f t="shared" si="71"/>
        <v>0</v>
      </c>
      <c r="Q312" s="11"/>
      <c r="R312" s="18">
        <f t="shared" si="84"/>
        <v>293</v>
      </c>
      <c r="S312" s="88">
        <f t="shared" si="78"/>
        <v>0</v>
      </c>
      <c r="T312" s="18">
        <f t="shared" si="72"/>
        <v>293</v>
      </c>
      <c r="U312" s="2"/>
    </row>
    <row r="313" spans="2:21" ht="15">
      <c r="B313" s="29"/>
      <c r="C313" s="39">
        <f t="shared" si="81"/>
        <v>6</v>
      </c>
      <c r="D313" s="143">
        <f t="shared" si="79"/>
        <v>7</v>
      </c>
      <c r="E313" s="160">
        <f t="shared" si="73"/>
        <v>0</v>
      </c>
      <c r="F313" s="55">
        <f t="shared" si="82"/>
        <v>775.2989356188735</v>
      </c>
      <c r="G313" s="37">
        <f t="shared" si="75"/>
        <v>0</v>
      </c>
      <c r="H313" s="38">
        <f t="shared" si="80"/>
        <v>0</v>
      </c>
      <c r="I313" s="141">
        <f t="shared" si="83"/>
        <v>30</v>
      </c>
      <c r="J313" s="66" t="str">
        <f t="shared" si="74"/>
        <v>Loan repaid</v>
      </c>
      <c r="K313" s="45">
        <f t="shared" si="76"/>
        <v>0</v>
      </c>
      <c r="L313" s="74">
        <f t="shared" si="77"/>
        <v>0</v>
      </c>
      <c r="M313" s="152" t="str">
        <f t="shared" si="70"/>
        <v>Loan terminated</v>
      </c>
      <c r="N313" s="50"/>
      <c r="O313" s="2"/>
      <c r="P313" s="17">
        <f t="shared" si="71"/>
        <v>0</v>
      </c>
      <c r="Q313" s="11"/>
      <c r="R313" s="18">
        <f t="shared" si="84"/>
        <v>294</v>
      </c>
      <c r="S313" s="88">
        <f t="shared" si="78"/>
        <v>0</v>
      </c>
      <c r="T313" s="18">
        <f t="shared" si="72"/>
        <v>294</v>
      </c>
      <c r="U313" s="2"/>
    </row>
    <row r="314" spans="2:21" ht="15">
      <c r="B314" s="29"/>
      <c r="C314" s="39">
        <f t="shared" si="81"/>
        <v>7</v>
      </c>
      <c r="D314" s="143">
        <f t="shared" si="79"/>
        <v>7</v>
      </c>
      <c r="E314" s="160">
        <f t="shared" si="73"/>
        <v>0</v>
      </c>
      <c r="F314" s="55">
        <f t="shared" si="82"/>
        <v>775.2989356188735</v>
      </c>
      <c r="G314" s="37">
        <f t="shared" si="75"/>
        <v>0</v>
      </c>
      <c r="H314" s="38">
        <f t="shared" si="80"/>
        <v>0</v>
      </c>
      <c r="I314" s="141">
        <f t="shared" si="83"/>
        <v>30</v>
      </c>
      <c r="J314" s="66" t="str">
        <f t="shared" si="74"/>
        <v>Loan repaid</v>
      </c>
      <c r="K314" s="45">
        <f t="shared" si="76"/>
        <v>0</v>
      </c>
      <c r="L314" s="74">
        <f t="shared" si="77"/>
        <v>0</v>
      </c>
      <c r="M314" s="152" t="str">
        <f t="shared" si="70"/>
        <v>Loan terminated</v>
      </c>
      <c r="N314" s="50"/>
      <c r="O314" s="2"/>
      <c r="P314" s="17">
        <f t="shared" si="71"/>
        <v>0</v>
      </c>
      <c r="Q314" s="11"/>
      <c r="R314" s="18">
        <f t="shared" si="84"/>
        <v>295</v>
      </c>
      <c r="S314" s="88">
        <f t="shared" si="78"/>
        <v>0</v>
      </c>
      <c r="T314" s="18">
        <f t="shared" si="72"/>
        <v>295</v>
      </c>
      <c r="U314" s="2"/>
    </row>
    <row r="315" spans="2:21" ht="15">
      <c r="B315" s="29"/>
      <c r="C315" s="39">
        <f t="shared" si="81"/>
        <v>8</v>
      </c>
      <c r="D315" s="143">
        <f t="shared" si="79"/>
        <v>7</v>
      </c>
      <c r="E315" s="160">
        <f t="shared" si="73"/>
        <v>0</v>
      </c>
      <c r="F315" s="55">
        <f t="shared" si="82"/>
        <v>775.2989356188735</v>
      </c>
      <c r="G315" s="37">
        <f t="shared" si="75"/>
        <v>0</v>
      </c>
      <c r="H315" s="38">
        <f t="shared" si="80"/>
        <v>0</v>
      </c>
      <c r="I315" s="141">
        <f t="shared" si="83"/>
        <v>30</v>
      </c>
      <c r="J315" s="66" t="str">
        <f t="shared" si="74"/>
        <v>Loan repaid</v>
      </c>
      <c r="K315" s="45">
        <f t="shared" si="76"/>
        <v>0</v>
      </c>
      <c r="L315" s="74">
        <f t="shared" si="77"/>
        <v>0</v>
      </c>
      <c r="M315" s="152" t="str">
        <f t="shared" si="70"/>
        <v>Loan terminated</v>
      </c>
      <c r="N315" s="50"/>
      <c r="O315" s="2"/>
      <c r="P315" s="17">
        <f t="shared" si="71"/>
        <v>0</v>
      </c>
      <c r="Q315" s="11"/>
      <c r="R315" s="18">
        <f t="shared" si="84"/>
        <v>296</v>
      </c>
      <c r="S315" s="88">
        <f t="shared" si="78"/>
        <v>0</v>
      </c>
      <c r="T315" s="18">
        <f t="shared" si="72"/>
        <v>296</v>
      </c>
      <c r="U315" s="2"/>
    </row>
    <row r="316" spans="2:21" ht="15">
      <c r="B316" s="29"/>
      <c r="C316" s="39">
        <f t="shared" si="81"/>
        <v>9</v>
      </c>
      <c r="D316" s="143">
        <f t="shared" si="79"/>
        <v>7</v>
      </c>
      <c r="E316" s="160">
        <f t="shared" si="73"/>
        <v>0</v>
      </c>
      <c r="F316" s="55">
        <f t="shared" si="82"/>
        <v>775.2989356188735</v>
      </c>
      <c r="G316" s="37">
        <f t="shared" si="75"/>
        <v>0</v>
      </c>
      <c r="H316" s="38">
        <f t="shared" si="80"/>
        <v>0</v>
      </c>
      <c r="I316" s="141">
        <f t="shared" si="83"/>
        <v>30</v>
      </c>
      <c r="J316" s="66" t="str">
        <f t="shared" si="74"/>
        <v>Loan repaid</v>
      </c>
      <c r="K316" s="45">
        <f t="shared" si="76"/>
        <v>0</v>
      </c>
      <c r="L316" s="74">
        <f t="shared" si="77"/>
        <v>0</v>
      </c>
      <c r="M316" s="152" t="str">
        <f t="shared" si="70"/>
        <v>Loan terminated</v>
      </c>
      <c r="N316" s="50"/>
      <c r="O316" s="2"/>
      <c r="P316" s="17">
        <f t="shared" si="71"/>
        <v>0</v>
      </c>
      <c r="Q316" s="11"/>
      <c r="R316" s="18">
        <f t="shared" si="84"/>
        <v>297</v>
      </c>
      <c r="S316" s="88">
        <f t="shared" si="78"/>
        <v>0</v>
      </c>
      <c r="T316" s="18">
        <f t="shared" si="72"/>
        <v>297</v>
      </c>
      <c r="U316" s="2"/>
    </row>
    <row r="317" spans="2:21" ht="15">
      <c r="B317" s="29"/>
      <c r="C317" s="39">
        <f t="shared" si="81"/>
        <v>10</v>
      </c>
      <c r="D317" s="143">
        <f t="shared" si="79"/>
        <v>7</v>
      </c>
      <c r="E317" s="160">
        <f t="shared" si="73"/>
        <v>0</v>
      </c>
      <c r="F317" s="55">
        <f t="shared" si="82"/>
        <v>775.2989356188735</v>
      </c>
      <c r="G317" s="37">
        <f t="shared" si="75"/>
        <v>0</v>
      </c>
      <c r="H317" s="38">
        <f t="shared" si="80"/>
        <v>0</v>
      </c>
      <c r="I317" s="141">
        <f t="shared" si="83"/>
        <v>30</v>
      </c>
      <c r="J317" s="66" t="str">
        <f t="shared" si="74"/>
        <v>Loan repaid</v>
      </c>
      <c r="K317" s="45">
        <f t="shared" si="76"/>
        <v>0</v>
      </c>
      <c r="L317" s="74">
        <f t="shared" si="77"/>
        <v>0</v>
      </c>
      <c r="M317" s="152" t="str">
        <f t="shared" si="70"/>
        <v>Loan terminated</v>
      </c>
      <c r="N317" s="50"/>
      <c r="O317" s="2"/>
      <c r="P317" s="17">
        <f t="shared" si="71"/>
        <v>0</v>
      </c>
      <c r="Q317" s="11"/>
      <c r="R317" s="18">
        <f t="shared" si="84"/>
        <v>298</v>
      </c>
      <c r="S317" s="88">
        <f t="shared" si="78"/>
        <v>0</v>
      </c>
      <c r="T317" s="18">
        <f t="shared" si="72"/>
        <v>298</v>
      </c>
      <c r="U317" s="2"/>
    </row>
    <row r="318" spans="2:21" ht="15">
      <c r="B318" s="29"/>
      <c r="C318" s="39">
        <f t="shared" si="81"/>
        <v>11</v>
      </c>
      <c r="D318" s="143">
        <f t="shared" si="79"/>
        <v>7</v>
      </c>
      <c r="E318" s="160">
        <f t="shared" si="73"/>
        <v>0</v>
      </c>
      <c r="F318" s="55">
        <f t="shared" si="82"/>
        <v>775.2989356188735</v>
      </c>
      <c r="G318" s="37">
        <f t="shared" si="75"/>
        <v>0</v>
      </c>
      <c r="H318" s="38">
        <f t="shared" si="80"/>
        <v>0</v>
      </c>
      <c r="I318" s="141">
        <f t="shared" si="83"/>
        <v>30</v>
      </c>
      <c r="J318" s="66" t="str">
        <f t="shared" si="74"/>
        <v>Loan repaid</v>
      </c>
      <c r="K318" s="45">
        <f t="shared" si="76"/>
        <v>0</v>
      </c>
      <c r="L318" s="74">
        <f t="shared" si="77"/>
        <v>0</v>
      </c>
      <c r="M318" s="152" t="str">
        <f t="shared" si="70"/>
        <v>Loan terminated</v>
      </c>
      <c r="N318" s="50"/>
      <c r="O318" s="2"/>
      <c r="P318" s="17">
        <f t="shared" si="71"/>
        <v>0</v>
      </c>
      <c r="Q318" s="11"/>
      <c r="R318" s="18">
        <f t="shared" si="84"/>
        <v>299</v>
      </c>
      <c r="S318" s="88">
        <f t="shared" si="78"/>
        <v>0</v>
      </c>
      <c r="T318" s="18">
        <f t="shared" si="72"/>
        <v>299</v>
      </c>
      <c r="U318" s="2"/>
    </row>
    <row r="319" spans="2:21" ht="15.75" thickBot="1">
      <c r="B319" s="90">
        <f>B308</f>
        <v>25</v>
      </c>
      <c r="C319" s="53">
        <f t="shared" si="81"/>
        <v>12</v>
      </c>
      <c r="D319" s="144">
        <f t="shared" si="79"/>
        <v>7</v>
      </c>
      <c r="E319" s="161">
        <f t="shared" si="73"/>
        <v>0</v>
      </c>
      <c r="F319" s="79">
        <f t="shared" si="82"/>
        <v>775.2989356188735</v>
      </c>
      <c r="G319" s="138">
        <f t="shared" si="75"/>
        <v>0</v>
      </c>
      <c r="H319" s="139">
        <f t="shared" si="80"/>
        <v>0</v>
      </c>
      <c r="I319" s="157">
        <f t="shared" si="83"/>
        <v>30</v>
      </c>
      <c r="J319" s="67" t="str">
        <f t="shared" si="74"/>
        <v>Loan repaid</v>
      </c>
      <c r="K319" s="54">
        <f t="shared" si="76"/>
        <v>0</v>
      </c>
      <c r="L319" s="76">
        <f t="shared" si="77"/>
        <v>0</v>
      </c>
      <c r="M319" s="154" t="str">
        <f t="shared" si="70"/>
        <v>Loan terminated</v>
      </c>
      <c r="N319" s="150"/>
      <c r="O319" s="2"/>
      <c r="P319" s="21">
        <f t="shared" si="71"/>
        <v>0</v>
      </c>
      <c r="Q319" s="23"/>
      <c r="R319" s="22">
        <f t="shared" si="84"/>
        <v>300</v>
      </c>
      <c r="S319" s="145">
        <f t="shared" si="78"/>
        <v>0</v>
      </c>
      <c r="T319" s="146">
        <f t="shared" si="72"/>
        <v>300</v>
      </c>
      <c r="U319" s="2"/>
    </row>
    <row r="320" spans="2:21" ht="15" thickTop="1">
      <c r="B320" s="2"/>
      <c r="C320" s="2"/>
      <c r="D320" s="2"/>
      <c r="E320" s="2"/>
      <c r="F320" s="2"/>
      <c r="G320" s="136">
        <f>SUMIF(R20:R319,"&lt;="&amp;U320,G19:G319)</f>
        <v>625751.0654143341</v>
      </c>
      <c r="H320" s="137">
        <f>SUMIF(R20:R319,"&lt;="&amp;U320,H19:H319)</f>
        <v>605200</v>
      </c>
      <c r="J320" s="101"/>
      <c r="K320" s="2"/>
      <c r="L320" s="2"/>
      <c r="M320" s="2"/>
      <c r="N320" s="2"/>
      <c r="O320" s="2"/>
      <c r="P320" s="125">
        <f>SUM(P20:P319)</f>
        <v>186071.74454852947</v>
      </c>
      <c r="Q320" s="2"/>
      <c r="R320" s="2"/>
      <c r="S320" s="125">
        <f>SUM(S20:S319)</f>
        <v>138003.21054015958</v>
      </c>
      <c r="T320" s="86">
        <f>IF(F9="r",MIN(T20:T319),MIN(F8*12,MIN(T20:T319)))</f>
        <v>179</v>
      </c>
      <c r="U320" s="2">
        <f>T320+1</f>
        <v>180</v>
      </c>
    </row>
    <row r="321" spans="2:21" ht="15">
      <c r="B321" s="80" t="s">
        <v>46</v>
      </c>
      <c r="C321" s="81"/>
      <c r="D321" s="82"/>
      <c r="E321" s="82"/>
      <c r="F321" s="82"/>
      <c r="G321" s="82"/>
      <c r="H321" s="83"/>
      <c r="I321" s="83"/>
      <c r="J321" s="83"/>
      <c r="K321" s="83"/>
      <c r="L321" s="83"/>
      <c r="M321" s="83"/>
      <c r="N321" s="84"/>
      <c r="O321" s="2"/>
      <c r="P321" s="2"/>
      <c r="Q321" s="2"/>
      <c r="R321" s="2"/>
      <c r="S321" s="2"/>
      <c r="T321" s="2"/>
      <c r="U321" s="2"/>
    </row>
  </sheetData>
  <sheetProtection password="9833" sheet="1" objects="1" scenarios="1"/>
  <mergeCells count="2">
    <mergeCell ref="B18:C18"/>
    <mergeCell ref="Q18:R18"/>
  </mergeCells>
  <conditionalFormatting sqref="M20:M319 J20:J319">
    <cfRule type="expression" priority="1" dxfId="19" stopIfTrue="1">
      <formula>IF(FIND("Pmt",$J20,1)&gt;0,TRUE,FALSE)</formula>
    </cfRule>
  </conditionalFormatting>
  <conditionalFormatting sqref="A216">
    <cfRule type="expression" priority="2" dxfId="20" stopIfTrue="1">
      <formula>IF($J216&lt;0,TRUE,FALSE)</formula>
    </cfRule>
  </conditionalFormatting>
  <conditionalFormatting sqref="B20 K20:K319">
    <cfRule type="expression" priority="3" dxfId="20" stopIfTrue="1">
      <formula>"if($S14&gt;1,true,false)"</formula>
    </cfRule>
  </conditionalFormatting>
  <conditionalFormatting sqref="C21:C319 D19">
    <cfRule type="expression" priority="4" dxfId="20" stopIfTrue="1">
      <formula>IF($T18="",FALSE,TRUE)</formula>
    </cfRule>
  </conditionalFormatting>
  <conditionalFormatting sqref="B319 B307:B308 B295:B296 B283:B284 B271:B272 B259:B260 B247:B248 B235:B236 B223:B224 B211:B212 B199:B200 B187:B188 B175:B176 B163:B164 B151:B152 B139:B140 B127:B128 B115:B116 B103:B104 B91:B92 B79:B80 B67:B68 B55:B56 B43:B44 B31:B32">
    <cfRule type="expression" priority="5" dxfId="20" stopIfTrue="1">
      <formula>IF(T30="",FALSE,TRUE)</formula>
    </cfRule>
  </conditionalFormatting>
  <conditionalFormatting sqref="G16">
    <cfRule type="expression" priority="6" dxfId="21" stopIfTrue="1">
      <formula>IF($F$16&gt;$F$13,TRUE,FALSE)</formula>
    </cfRule>
  </conditionalFormatting>
  <conditionalFormatting sqref="G14">
    <cfRule type="expression" priority="7" dxfId="21" stopIfTrue="1">
      <formula>IF($F$14&gt;$F$13,TRUE,FALSE)</formula>
    </cfRule>
  </conditionalFormatting>
  <conditionalFormatting sqref="F20:F319">
    <cfRule type="expression" priority="8" dxfId="22" stopIfTrue="1">
      <formula>IF($R20&gt;$F$8*12,TRUE,FALSE)</formula>
    </cfRule>
    <cfRule type="expression" priority="9" dxfId="23" stopIfTrue="1">
      <formula>IF($R20=$T20,TRUE,FALSE)</formula>
    </cfRule>
  </conditionalFormatting>
  <conditionalFormatting sqref="E20:E319">
    <cfRule type="expression" priority="10" dxfId="24" stopIfTrue="1">
      <formula>IF($R20&gt;$F$8*12,TRUE,FALSE)</formula>
    </cfRule>
    <cfRule type="expression" priority="11" dxfId="25" stopIfTrue="1">
      <formula>IF($T19="",FALSE,TRUE)</formula>
    </cfRule>
  </conditionalFormatting>
  <conditionalFormatting sqref="I20:I319">
    <cfRule type="expression" priority="12" dxfId="24" stopIfTrue="1">
      <formula>IF($R20&gt;$F$8*12,TRUE,FALSE)</formula>
    </cfRule>
    <cfRule type="expression" priority="13" dxfId="20" stopIfTrue="1">
      <formula>IF($T20&gt;=$T$320,FALSE,TRUE)</formula>
    </cfRule>
  </conditionalFormatting>
  <conditionalFormatting sqref="D20:D319">
    <cfRule type="expression" priority="14" dxfId="24" stopIfTrue="1">
      <formula>IF($R20&gt;$F$8*12,TRUE,FALSE)</formula>
    </cfRule>
    <cfRule type="expression" priority="15" dxfId="20" stopIfTrue="1">
      <formula>IF($T19="",FALSE,TRUE)</formula>
    </cfRule>
  </conditionalFormatting>
  <conditionalFormatting sqref="H20:H319">
    <cfRule type="expression" priority="16" dxfId="24" stopIfTrue="1">
      <formula>IF($R20&gt;$F$8*12,TRUE,FALSE)</formula>
    </cfRule>
    <cfRule type="expression" priority="17" dxfId="20" stopIfTrue="1">
      <formula>IF($R20&gt;$T$320,TRUE,FALSE)</formula>
    </cfRule>
  </conditionalFormatting>
  <conditionalFormatting sqref="G20:G319">
    <cfRule type="expression" priority="18" dxfId="24" stopIfTrue="1">
      <formula>IF($R20&gt;$F$8*12,TRUE,FALSE)</formula>
    </cfRule>
    <cfRule type="expression" priority="19" dxfId="25" stopIfTrue="1">
      <formula>IF($R20&gt;$T$320,TRUE,FALSE)</formula>
    </cfRule>
  </conditionalFormatting>
  <dataValidations count="5">
    <dataValidation errorStyle="warning" type="decimal" allowBlank="1" showInputMessage="1" showErrorMessage="1" promptTitle="Credit Event" errorTitle="Credit Event" error="Cannot exceed previous month's debt or be negative." sqref="G20:G319">
      <formula1>0</formula1>
      <formula2>K19</formula2>
    </dataValidation>
    <dataValidation type="whole" allowBlank="1" showInputMessage="1" showErrorMessage="1" errorTitle="Full Term" error="Must be between 5 and 25 years." sqref="F8">
      <formula1>5</formula1>
      <formula2>25</formula2>
    </dataValidation>
    <dataValidation type="whole" allowBlank="1" showInputMessage="1" showErrorMessage="1" errorTitle="Day of the Month" error="Must be from 0 to 30" sqref="I20:I319">
      <formula1>0</formula1>
      <formula2>30</formula2>
    </dataValidation>
    <dataValidation errorStyle="information" type="decimal" allowBlank="1" showInputMessage="1" showErrorMessage="1" promptTitle="Regular payment" errorTitle="Regular payment" error="Must be less than previous month's debt and not negative." sqref="F20:F319">
      <formula1>0</formula1>
      <formula2>K19</formula2>
    </dataValidation>
    <dataValidation type="decimal" allowBlank="1" showInputMessage="1" showErrorMessage="1" errorTitle="Payment Increase pa" error="Must be between 0 and 100" sqref="F10">
      <formula1>0</formula1>
      <formula2>100</formula2>
    </dataValidation>
  </dataValidations>
  <printOptions/>
  <pageMargins left="0.59" right="0.52" top="0.81" bottom="0.61" header="0.5" footer="0.5"/>
  <pageSetup fitToHeight="5" fitToWidth="1" orientation="portrait" paperSize="9" scale="63" r:id="rId3"/>
  <headerFooter alignWithMargins="0">
    <oddHeader>&amp;L&amp;F&amp;CPage &amp;P of &amp;N&amp;R&amp;T &amp;D</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DMK Developments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Kelly</dc:creator>
  <cp:keywords/>
  <dc:description/>
  <cp:lastModifiedBy>Danny Peacock</cp:lastModifiedBy>
  <cp:lastPrinted>2000-12-06T14:58:53Z</cp:lastPrinted>
  <dcterms:created xsi:type="dcterms:W3CDTF">2000-11-08T06:04:02Z</dcterms:created>
  <dcterms:modified xsi:type="dcterms:W3CDTF">2014-12-17T13:13:52Z</dcterms:modified>
  <cp:category/>
  <cp:version/>
  <cp:contentType/>
  <cp:contentStatus/>
</cp:coreProperties>
</file>