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96" windowWidth="7608" windowHeight="5172" tabRatio="713" activeTab="0"/>
  </bookViews>
  <sheets>
    <sheet name="Flexible Mortgage Calculator" sheetId="1" r:id="rId1"/>
  </sheets>
  <definedNames>
    <definedName name="_xlnm.Print_Area" localSheetId="0">'Flexible Mortgage Calculator'!$B$2:$M$53</definedName>
  </definedNames>
  <calcPr fullCalcOnLoad="1"/>
</workbook>
</file>

<file path=xl/comments1.xml><?xml version="1.0" encoding="utf-8"?>
<comments xmlns="http://schemas.openxmlformats.org/spreadsheetml/2006/main">
  <authors>
    <author>Michael Kelly</author>
  </authors>
  <commentList>
    <comment ref="D11" authorId="0">
      <text>
        <r>
          <rPr>
            <sz val="8"/>
            <rFont val="Tahoma"/>
            <family val="0"/>
          </rPr>
          <t>Enter the initial loan figure if interest-only, or the interest only element if mixed; otherwise enter zero.</t>
        </r>
      </text>
    </comment>
    <comment ref="D12" authorId="0">
      <text>
        <r>
          <rPr>
            <sz val="8"/>
            <rFont val="Tahoma"/>
            <family val="0"/>
          </rPr>
          <t>How many times a year does the interest compound.  Enter 12 if unsure.</t>
        </r>
      </text>
    </comment>
  </commentList>
</comments>
</file>

<file path=xl/sharedStrings.xml><?xml version="1.0" encoding="utf-8"?>
<sst xmlns="http://schemas.openxmlformats.org/spreadsheetml/2006/main" count="39" uniqueCount="37">
  <si>
    <t>% pa</t>
  </si>
  <si>
    <t>pa</t>
  </si>
  <si>
    <t>Year</t>
  </si>
  <si>
    <t>Interest</t>
  </si>
  <si>
    <t>Minimum</t>
  </si>
  <si>
    <t>Desired</t>
  </si>
  <si>
    <t>Debt</t>
  </si>
  <si>
    <t>Pmt £ pm</t>
  </si>
  <si>
    <t>Yr End</t>
  </si>
  <si>
    <t>Y or N</t>
  </si>
  <si>
    <t>Use View, Zoom for best screen size</t>
  </si>
  <si>
    <t>Actual</t>
  </si>
  <si>
    <t>In total</t>
  </si>
  <si>
    <t xml:space="preserve">Initial Loan </t>
  </si>
  <si>
    <t xml:space="preserve">Initial Term </t>
  </si>
  <si>
    <t xml:space="preserve">Final Loan </t>
  </si>
  <si>
    <t xml:space="preserve">Rests pa </t>
  </si>
  <si>
    <t xml:space="preserve">Min Lock </t>
  </si>
  <si>
    <t>(0 for repayment, otherwise interest-only element)</t>
  </si>
  <si>
    <t>Change blue figures only.</t>
  </si>
  <si>
    <t>Enter any year-by-year interest rate and repayment schedule</t>
  </si>
  <si>
    <t>Enter property name &amp; "Save as…"</t>
  </si>
  <si>
    <t>eg 12 for monthly, 4 for quarterly, 1 for annual</t>
  </si>
  <si>
    <t>Value</t>
  </si>
  <si>
    <t>Property</t>
  </si>
  <si>
    <t>Equity</t>
  </si>
  <si>
    <t>Init prop.value</t>
  </si>
  <si>
    <t>Illustrate Equity</t>
  </si>
  <si>
    <t>Growth</t>
  </si>
  <si>
    <t>Rate</t>
  </si>
  <si>
    <t>Note:</t>
  </si>
  <si>
    <t>remaining period, assuming the interest is constant.  Change desired payment to any figure, or make it equal to the minimum (type = left arrow).</t>
  </si>
  <si>
    <t xml:space="preserve">The Minimum payment is the level monthly payment required to amortise the previous year's debt to the Final Loan over the </t>
  </si>
  <si>
    <t>The actual payment will always be at least the minimum if the min lock is 'Y', otherwise it will be the desired payment.</t>
  </si>
  <si>
    <t>N</t>
  </si>
  <si>
    <t>Monthly Mortgage Schedule illustrated annually</t>
  </si>
  <si>
    <t>Marco Gp Ltd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</si>
</sst>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"/>
    <numFmt numFmtId="174" formatCode="0.0000%"/>
    <numFmt numFmtId="175" formatCode="&quot;£&quot;#,##0.00"/>
    <numFmt numFmtId="176" formatCode="&quot;£&quot;#,##0"/>
    <numFmt numFmtId="177" formatCode="\£#,##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sz val="8"/>
      <name val="Tahoma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1" fontId="4" fillId="0" borderId="0" applyFill="0" applyBorder="0" applyProtection="0">
      <alignment horizontal="left" vertical="top"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left" vertical="top"/>
    </xf>
    <xf numFmtId="1" fontId="5" fillId="0" borderId="0" xfId="0" applyNumberFormat="1" applyFont="1" applyAlignment="1">
      <alignment horizontal="left" vertical="top"/>
    </xf>
    <xf numFmtId="172" fontId="6" fillId="0" borderId="0" xfId="0" applyNumberFormat="1" applyFont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174" fontId="5" fillId="0" borderId="0" xfId="0" applyNumberFormat="1" applyFont="1" applyAlignment="1">
      <alignment horizontal="left" vertical="top"/>
    </xf>
    <xf numFmtId="175" fontId="8" fillId="0" borderId="10" xfId="0" applyNumberFormat="1" applyFont="1" applyBorder="1" applyAlignment="1" applyProtection="1">
      <alignment horizontal="center" vertical="top"/>
      <protection locked="0"/>
    </xf>
    <xf numFmtId="166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1" fontId="7" fillId="0" borderId="11" xfId="0" applyNumberFormat="1" applyFont="1" applyBorder="1" applyAlignment="1" applyProtection="1">
      <alignment horizontal="center" vertical="top"/>
      <protection locked="0"/>
    </xf>
    <xf numFmtId="176" fontId="7" fillId="0" borderId="11" xfId="0" applyNumberFormat="1" applyFont="1" applyBorder="1" applyAlignment="1" applyProtection="1">
      <alignment horizontal="center" vertical="top"/>
      <protection locked="0"/>
    </xf>
    <xf numFmtId="1" fontId="7" fillId="0" borderId="0" xfId="0" applyNumberFormat="1" applyFont="1" applyBorder="1" applyAlignment="1" applyProtection="1">
      <alignment horizontal="center" vertical="top"/>
      <protection locked="0"/>
    </xf>
    <xf numFmtId="172" fontId="5" fillId="0" borderId="0" xfId="0" applyNumberFormat="1" applyFont="1" applyBorder="1" applyAlignment="1">
      <alignment horizontal="left" vertical="top"/>
    </xf>
    <xf numFmtId="175" fontId="5" fillId="0" borderId="0" xfId="0" applyNumberFormat="1" applyFont="1" applyBorder="1" applyAlignment="1">
      <alignment horizontal="center" vertical="top"/>
    </xf>
    <xf numFmtId="172" fontId="0" fillId="0" borderId="0" xfId="0" applyNumberFormat="1" applyFont="1" applyAlignment="1">
      <alignment horizontal="left" vertical="top"/>
    </xf>
    <xf numFmtId="175" fontId="6" fillId="0" borderId="10" xfId="0" applyNumberFormat="1" applyFont="1" applyBorder="1" applyAlignment="1">
      <alignment horizontal="center" vertical="top"/>
    </xf>
    <xf numFmtId="175" fontId="6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10" fillId="33" borderId="12" xfId="0" applyFont="1" applyFill="1" applyBorder="1" applyAlignment="1">
      <alignment horizontal="centerContinuous"/>
    </xf>
    <xf numFmtId="1" fontId="11" fillId="34" borderId="0" xfId="0" applyNumberFormat="1" applyFont="1" applyFill="1" applyBorder="1" applyAlignment="1">
      <alignment horizontal="right" vertical="top"/>
    </xf>
    <xf numFmtId="175" fontId="8" fillId="0" borderId="0" xfId="0" applyNumberFormat="1" applyFont="1" applyBorder="1" applyAlignment="1" applyProtection="1">
      <alignment horizontal="center" vertical="top"/>
      <protection locked="0"/>
    </xf>
    <xf numFmtId="176" fontId="14" fillId="0" borderId="0" xfId="0" applyNumberFormat="1" applyFont="1" applyAlignment="1" applyProtection="1">
      <alignment horizontal="center" vertical="top"/>
      <protection/>
    </xf>
    <xf numFmtId="172" fontId="15" fillId="0" borderId="0" xfId="0" applyNumberFormat="1" applyFont="1" applyAlignment="1" applyProtection="1">
      <alignment horizontal="center" vertical="top"/>
      <protection/>
    </xf>
    <xf numFmtId="172" fontId="1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172" fontId="16" fillId="0" borderId="0" xfId="0" applyNumberFormat="1" applyFont="1" applyAlignment="1">
      <alignment horizontal="centerContinuous" vertical="center"/>
    </xf>
    <xf numFmtId="1" fontId="17" fillId="0" borderId="0" xfId="0" applyNumberFormat="1" applyFont="1" applyAlignment="1">
      <alignment horizontal="left" vertical="top"/>
    </xf>
    <xf numFmtId="8" fontId="5" fillId="0" borderId="13" xfId="0" applyNumberFormat="1" applyFont="1" applyBorder="1" applyAlignment="1">
      <alignment horizontal="center"/>
    </xf>
    <xf numFmtId="2" fontId="8" fillId="0" borderId="10" xfId="0" applyNumberFormat="1" applyFont="1" applyBorder="1" applyAlignment="1" applyProtection="1">
      <alignment horizontal="center" vertical="top"/>
      <protection locked="0"/>
    </xf>
    <xf numFmtId="175" fontId="5" fillId="0" borderId="10" xfId="0" applyNumberFormat="1" applyFont="1" applyBorder="1" applyAlignment="1">
      <alignment horizontal="center" vertical="top"/>
    </xf>
    <xf numFmtId="1" fontId="17" fillId="34" borderId="0" xfId="0" applyNumberFormat="1" applyFont="1" applyFill="1" applyBorder="1" applyAlignment="1">
      <alignment horizontal="left" vertical="top"/>
    </xf>
    <xf numFmtId="0" fontId="17" fillId="0" borderId="0" xfId="0" applyFont="1" applyAlignment="1">
      <alignment/>
    </xf>
    <xf numFmtId="172" fontId="8" fillId="0" borderId="0" xfId="0" applyNumberFormat="1" applyFont="1" applyAlignment="1" applyProtection="1">
      <alignment horizontal="left" vertical="top"/>
      <protection locked="0"/>
    </xf>
    <xf numFmtId="1" fontId="6" fillId="0" borderId="14" xfId="0" applyNumberFormat="1" applyFont="1" applyBorder="1" applyAlignment="1">
      <alignment horizontal="center" vertical="top"/>
    </xf>
    <xf numFmtId="1" fontId="6" fillId="0" borderId="15" xfId="0" applyNumberFormat="1" applyFont="1" applyBorder="1" applyAlignment="1">
      <alignment horizontal="center" vertical="top"/>
    </xf>
    <xf numFmtId="1" fontId="6" fillId="0" borderId="16" xfId="0" applyNumberFormat="1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/>
    </xf>
    <xf numFmtId="1" fontId="6" fillId="0" borderId="18" xfId="0" applyNumberFormat="1" applyFont="1" applyBorder="1" applyAlignment="1">
      <alignment horizontal="center" vertical="top"/>
    </xf>
    <xf numFmtId="1" fontId="5" fillId="0" borderId="19" xfId="0" applyNumberFormat="1" applyFont="1" applyBorder="1" applyAlignment="1">
      <alignment horizontal="center" vertical="top"/>
    </xf>
    <xf numFmtId="2" fontId="8" fillId="0" borderId="0" xfId="0" applyNumberFormat="1" applyFont="1" applyBorder="1" applyAlignment="1" applyProtection="1">
      <alignment horizontal="center" vertical="top"/>
      <protection locked="0"/>
    </xf>
    <xf numFmtId="175" fontId="5" fillId="0" borderId="20" xfId="0" applyNumberFormat="1" applyFont="1" applyBorder="1" applyAlignment="1">
      <alignment horizontal="center" vertical="top"/>
    </xf>
    <xf numFmtId="175" fontId="5" fillId="0" borderId="18" xfId="0" applyNumberFormat="1" applyFont="1" applyBorder="1" applyAlignment="1">
      <alignment horizontal="center" vertical="top"/>
    </xf>
    <xf numFmtId="1" fontId="5" fillId="0" borderId="21" xfId="0" applyNumberFormat="1" applyFont="1" applyBorder="1" applyAlignment="1">
      <alignment horizontal="center" vertical="top"/>
    </xf>
    <xf numFmtId="1" fontId="5" fillId="0" borderId="22" xfId="0" applyNumberFormat="1" applyFont="1" applyBorder="1" applyAlignment="1">
      <alignment horizontal="center" vertical="top"/>
    </xf>
    <xf numFmtId="2" fontId="8" fillId="0" borderId="23" xfId="0" applyNumberFormat="1" applyFont="1" applyBorder="1" applyAlignment="1" applyProtection="1">
      <alignment horizontal="center" vertical="top"/>
      <protection locked="0"/>
    </xf>
    <xf numFmtId="175" fontId="5" fillId="0" borderId="23" xfId="0" applyNumberFormat="1" applyFont="1" applyBorder="1" applyAlignment="1">
      <alignment horizontal="center" vertical="top"/>
    </xf>
    <xf numFmtId="175" fontId="8" fillId="0" borderId="23" xfId="0" applyNumberFormat="1" applyFont="1" applyBorder="1" applyAlignment="1" applyProtection="1">
      <alignment horizontal="center" vertical="top"/>
      <protection locked="0"/>
    </xf>
    <xf numFmtId="175" fontId="6" fillId="0" borderId="23" xfId="0" applyNumberFormat="1" applyFont="1" applyBorder="1" applyAlignment="1">
      <alignment horizontal="center" vertical="top"/>
    </xf>
    <xf numFmtId="175" fontId="5" fillId="0" borderId="24" xfId="0" applyNumberFormat="1" applyFont="1" applyBorder="1" applyAlignment="1">
      <alignment horizontal="center" vertical="top"/>
    </xf>
    <xf numFmtId="1" fontId="6" fillId="0" borderId="17" xfId="0" applyNumberFormat="1" applyFont="1" applyBorder="1" applyAlignment="1">
      <alignment horizontal="center" vertical="top"/>
    </xf>
    <xf numFmtId="176" fontId="5" fillId="0" borderId="0" xfId="0" applyNumberFormat="1" applyFont="1" applyBorder="1" applyAlignment="1">
      <alignment horizontal="center" vertical="top"/>
    </xf>
    <xf numFmtId="10" fontId="7" fillId="0" borderId="0" xfId="0" applyNumberFormat="1" applyFont="1" applyAlignment="1" applyProtection="1">
      <alignment horizontal="center" vertical="top"/>
      <protection locked="0"/>
    </xf>
    <xf numFmtId="10" fontId="8" fillId="0" borderId="0" xfId="0" applyNumberFormat="1" applyFont="1" applyBorder="1" applyAlignment="1" applyProtection="1">
      <alignment horizontal="center" vertical="top"/>
      <protection locked="0"/>
    </xf>
    <xf numFmtId="176" fontId="21" fillId="0" borderId="0" xfId="0" applyNumberFormat="1" applyFont="1" applyBorder="1" applyAlignment="1" applyProtection="1">
      <alignment horizontal="center" vertical="top"/>
      <protection/>
    </xf>
    <xf numFmtId="10" fontId="8" fillId="0" borderId="22" xfId="0" applyNumberFormat="1" applyFont="1" applyBorder="1" applyAlignment="1" applyProtection="1">
      <alignment horizontal="center" vertical="top"/>
      <protection locked="0"/>
    </xf>
    <xf numFmtId="176" fontId="21" fillId="0" borderId="23" xfId="0" applyNumberFormat="1" applyFont="1" applyBorder="1" applyAlignment="1" applyProtection="1">
      <alignment horizontal="center" vertical="top"/>
      <protection/>
    </xf>
    <xf numFmtId="1" fontId="9" fillId="33" borderId="25" xfId="0" applyNumberFormat="1" applyFont="1" applyFill="1" applyBorder="1" applyAlignment="1">
      <alignment horizontal="left" vertical="top"/>
    </xf>
    <xf numFmtId="1" fontId="13" fillId="0" borderId="0" xfId="0" applyNumberFormat="1" applyFont="1" applyAlignment="1">
      <alignment horizontal="left" vertical="center"/>
    </xf>
    <xf numFmtId="1" fontId="5" fillId="0" borderId="0" xfId="0" applyNumberFormat="1" applyFont="1" applyBorder="1" applyAlignment="1">
      <alignment horizontal="center" vertical="top"/>
    </xf>
    <xf numFmtId="176" fontId="5" fillId="0" borderId="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left" vertical="top"/>
    </xf>
    <xf numFmtId="1" fontId="5" fillId="0" borderId="17" xfId="0" applyNumberFormat="1" applyFont="1" applyBorder="1" applyAlignment="1">
      <alignment horizontal="center" vertical="top"/>
    </xf>
    <xf numFmtId="10" fontId="8" fillId="0" borderId="17" xfId="0" applyNumberFormat="1" applyFont="1" applyBorder="1" applyAlignment="1" applyProtection="1">
      <alignment horizontal="center" vertical="top"/>
      <protection locked="0"/>
    </xf>
    <xf numFmtId="176" fontId="21" fillId="0" borderId="10" xfId="0" applyNumberFormat="1" applyFont="1" applyBorder="1" applyAlignment="1" applyProtection="1">
      <alignment horizontal="center" vertical="top"/>
      <protection/>
    </xf>
    <xf numFmtId="1" fontId="6" fillId="0" borderId="16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/>
    </xf>
    <xf numFmtId="10" fontId="7" fillId="0" borderId="19" xfId="0" applyNumberFormat="1" applyFont="1" applyBorder="1" applyAlignment="1" applyProtection="1">
      <alignment horizontal="center" vertical="top"/>
      <protection locked="0"/>
    </xf>
    <xf numFmtId="176" fontId="5" fillId="0" borderId="20" xfId="0" applyNumberFormat="1" applyFont="1" applyBorder="1" applyAlignment="1">
      <alignment horizontal="center"/>
    </xf>
    <xf numFmtId="10" fontId="8" fillId="0" borderId="19" xfId="0" applyNumberFormat="1" applyFont="1" applyBorder="1" applyAlignment="1" applyProtection="1">
      <alignment horizontal="center" vertical="top"/>
      <protection locked="0"/>
    </xf>
    <xf numFmtId="176" fontId="5" fillId="0" borderId="18" xfId="0" applyNumberFormat="1" applyFont="1" applyBorder="1" applyAlignment="1">
      <alignment horizontal="center"/>
    </xf>
    <xf numFmtId="176" fontId="5" fillId="0" borderId="2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1" fontId="11" fillId="34" borderId="15" xfId="0" applyNumberFormat="1" applyFont="1" applyFill="1" applyBorder="1" applyAlignment="1">
      <alignment horizontal="right" vertical="top"/>
    </xf>
    <xf numFmtId="176" fontId="7" fillId="0" borderId="26" xfId="0" applyNumberFormat="1" applyFont="1" applyBorder="1" applyAlignment="1" applyProtection="1">
      <alignment horizontal="center" vertical="top"/>
      <protection locked="0"/>
    </xf>
    <xf numFmtId="172" fontId="5" fillId="0" borderId="16" xfId="0" applyNumberFormat="1" applyFont="1" applyBorder="1" applyAlignment="1">
      <alignment horizontal="left" vertical="top"/>
    </xf>
    <xf numFmtId="0" fontId="5" fillId="0" borderId="19" xfId="0" applyFont="1" applyBorder="1" applyAlignment="1">
      <alignment/>
    </xf>
    <xf numFmtId="2" fontId="5" fillId="0" borderId="20" xfId="0" applyNumberFormat="1" applyFont="1" applyBorder="1" applyAlignment="1">
      <alignment horizontal="left" vertical="top"/>
    </xf>
    <xf numFmtId="1" fontId="5" fillId="0" borderId="20" xfId="0" applyNumberFormat="1" applyFont="1" applyBorder="1" applyAlignment="1">
      <alignment horizontal="left" vertical="top"/>
    </xf>
    <xf numFmtId="172" fontId="5" fillId="0" borderId="20" xfId="0" applyNumberFormat="1" applyFont="1" applyBorder="1" applyAlignment="1">
      <alignment horizontal="left" vertical="top"/>
    </xf>
    <xf numFmtId="0" fontId="5" fillId="0" borderId="22" xfId="0" applyFont="1" applyBorder="1" applyAlignment="1">
      <alignment/>
    </xf>
    <xf numFmtId="1" fontId="11" fillId="34" borderId="23" xfId="0" applyNumberFormat="1" applyFont="1" applyFill="1" applyBorder="1" applyAlignment="1">
      <alignment horizontal="right" vertical="top"/>
    </xf>
    <xf numFmtId="1" fontId="7" fillId="0" borderId="27" xfId="0" applyNumberFormat="1" applyFont="1" applyBorder="1" applyAlignment="1" applyProtection="1">
      <alignment horizontal="center" vertical="top"/>
      <protection locked="0"/>
    </xf>
    <xf numFmtId="172" fontId="5" fillId="0" borderId="24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8" fontId="12" fillId="33" borderId="25" xfId="0" applyNumberFormat="1" applyFont="1" applyFill="1" applyBorder="1" applyAlignment="1">
      <alignment horizontal="center"/>
    </xf>
    <xf numFmtId="8" fontId="12" fillId="33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Payments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78"/>
          <c:w val="0.89"/>
          <c:h val="0.6875"/>
        </c:manualLayout>
      </c:layout>
      <c:barChart>
        <c:barDir val="col"/>
        <c:grouping val="clustered"/>
        <c:varyColors val="0"/>
        <c:ser>
          <c:idx val="4"/>
          <c:order val="0"/>
          <c:tx>
            <c:v>Actual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'Flexible Mortgage Calculator'!$B$20:$B$49</c:f>
              <c:numCache/>
            </c:numRef>
          </c:cat>
          <c:val>
            <c:numRef>
              <c:f>'Flexible Mortgage Calculator'!$F$20:$F$49</c:f>
              <c:numCache/>
            </c:numRef>
          </c:val>
        </c:ser>
        <c:axId val="61901027"/>
        <c:axId val="20238332"/>
      </c:barChart>
      <c:catAx>
        <c:axId val="6190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4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38332"/>
        <c:crosses val="autoZero"/>
        <c:auto val="1"/>
        <c:lblOffset val="100"/>
        <c:tickLblSkip val="1"/>
        <c:noMultiLvlLbl val="0"/>
      </c:catAx>
      <c:valAx>
        <c:axId val="202383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Payment</a:t>
                </a:r>
              </a:p>
            </c:rich>
          </c:tx>
          <c:layout>
            <c:manualLayout>
              <c:xMode val="factor"/>
              <c:yMode val="factor"/>
              <c:x val="-0.04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£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1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Debt &amp; Property Value</a:t>
            </a:r>
          </a:p>
        </c:rich>
      </c:tx>
      <c:layout>
        <c:manualLayout>
          <c:xMode val="factor"/>
          <c:yMode val="factor"/>
          <c:x val="-0.05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5025"/>
          <c:w val="0.898"/>
          <c:h val="0.6425"/>
        </c:manualLayout>
      </c:layout>
      <c:lineChart>
        <c:grouping val="standard"/>
        <c:varyColors val="0"/>
        <c:ser>
          <c:idx val="1"/>
          <c:order val="0"/>
          <c:tx>
            <c:v>Actual Debt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'Flexible Mortgage Calculator'!$B$20:$B$49</c:f>
              <c:numCache/>
            </c:numRef>
          </c:cat>
          <c:val>
            <c:numRef>
              <c:f>'Flexible Mortgage Calculator'!$G$20:$G$49</c:f>
              <c:numCache/>
            </c:numRef>
          </c:val>
          <c:smooth val="1"/>
        </c:ser>
        <c:ser>
          <c:idx val="0"/>
          <c:order val="1"/>
          <c:tx>
            <c:v>Property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'Flexible Mortgage Calculator'!$B$20:$B$49</c:f>
              <c:numCache/>
            </c:numRef>
          </c:cat>
          <c:val>
            <c:numRef>
              <c:f>'Flexible Mortgage Calculator'!$I$20:$I$49</c:f>
              <c:numCache/>
            </c:numRef>
          </c:val>
          <c:smooth val="0"/>
        </c:ser>
        <c:marker val="1"/>
        <c:axId val="47927261"/>
        <c:axId val="28692166"/>
      </c:lineChart>
      <c:catAx>
        <c:axId val="4792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47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92166"/>
        <c:crosses val="autoZero"/>
        <c:auto val="1"/>
        <c:lblOffset val="100"/>
        <c:tickLblSkip val="2"/>
        <c:noMultiLvlLbl val="0"/>
      </c:catAx>
      <c:valAx>
        <c:axId val="286921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Debt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£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7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05"/>
          <c:y val="0.1425"/>
          <c:w val="0.46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16</xdr:row>
      <xdr:rowOff>57150</xdr:rowOff>
    </xdr:from>
    <xdr:to>
      <xdr:col>16</xdr:col>
      <xdr:colOff>314325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8229600" y="3038475"/>
        <a:ext cx="47815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28</xdr:row>
      <xdr:rowOff>180975</xdr:rowOff>
    </xdr:from>
    <xdr:to>
      <xdr:col>16</xdr:col>
      <xdr:colOff>342900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8220075" y="5324475"/>
        <a:ext cx="48196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3"/>
  <sheetViews>
    <sheetView showGridLines="0" showRowColHeaders="0" tabSelected="1" zoomScale="90" zoomScaleNormal="90" zoomScalePageLayoutView="0" workbookViewId="0" topLeftCell="A1">
      <selection activeCell="B53" sqref="B53:M53"/>
    </sheetView>
  </sheetViews>
  <sheetFormatPr defaultColWidth="8.00390625" defaultRowHeight="12.75"/>
  <cols>
    <col min="1" max="1" width="1.7109375" style="1" customWidth="1"/>
    <col min="2" max="2" width="7.140625" style="1" customWidth="1"/>
    <col min="3" max="3" width="10.421875" style="1" customWidth="1"/>
    <col min="4" max="4" width="18.8515625" style="1" customWidth="1"/>
    <col min="5" max="5" width="13.421875" style="1" customWidth="1"/>
    <col min="6" max="6" width="13.7109375" style="1" customWidth="1"/>
    <col min="7" max="7" width="16.57421875" style="1" customWidth="1"/>
    <col min="8" max="8" width="9.7109375" style="1" customWidth="1"/>
    <col min="9" max="9" width="17.28125" style="1" customWidth="1"/>
    <col min="10" max="10" width="13.28125" style="1" customWidth="1"/>
    <col min="11" max="11" width="1.8515625" style="1" customWidth="1"/>
    <col min="12" max="12" width="13.140625" style="1" customWidth="1"/>
    <col min="13" max="13" width="11.00390625" style="1" customWidth="1"/>
    <col min="14" max="14" width="26.28125" style="1" customWidth="1"/>
    <col min="15" max="16384" width="8.00390625" style="1" customWidth="1"/>
  </cols>
  <sheetData>
    <row r="1" ht="7.5" customHeight="1"/>
    <row r="2" spans="2:14" ht="23.25">
      <c r="B2" s="58" t="s">
        <v>35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85"/>
    </row>
    <row r="3" ht="4.5" customHeight="1"/>
    <row r="4" spans="2:14" ht="20.25">
      <c r="B4" s="59" t="s">
        <v>20</v>
      </c>
      <c r="C4" s="26"/>
      <c r="D4" s="26"/>
      <c r="E4" s="27"/>
      <c r="F4" s="26"/>
      <c r="G4" s="26"/>
      <c r="H4" s="26"/>
      <c r="I4" s="26"/>
      <c r="J4" s="26"/>
      <c r="K4" s="26"/>
      <c r="L4" s="26"/>
      <c r="M4" s="26"/>
      <c r="N4" s="26"/>
    </row>
    <row r="5" spans="2:5" ht="4.5" customHeight="1">
      <c r="B5" s="28"/>
      <c r="E5" s="25"/>
    </row>
    <row r="6" spans="2:8" ht="15.75">
      <c r="B6" s="25" t="s">
        <v>19</v>
      </c>
      <c r="G6" s="19" t="s">
        <v>27</v>
      </c>
      <c r="H6" s="19"/>
    </row>
    <row r="7" spans="2:5" ht="16.5" thickBot="1">
      <c r="B7" s="16" t="s">
        <v>10</v>
      </c>
      <c r="E7" s="19"/>
    </row>
    <row r="8" spans="2:10" ht="16.5" thickTop="1">
      <c r="B8" s="73"/>
      <c r="C8" s="74" t="s">
        <v>13</v>
      </c>
      <c r="D8" s="75">
        <v>200000</v>
      </c>
      <c r="E8" s="76"/>
      <c r="F8" s="34" t="s">
        <v>21</v>
      </c>
      <c r="G8" s="2"/>
      <c r="H8" s="2"/>
      <c r="I8" s="2"/>
      <c r="J8" s="2"/>
    </row>
    <row r="9" spans="2:10" ht="15.75">
      <c r="B9" s="77"/>
      <c r="C9" s="21" t="s">
        <v>26</v>
      </c>
      <c r="D9" s="12">
        <v>300000</v>
      </c>
      <c r="E9" s="78" t="str">
        <f>"LTV "&amp;FIXED(D8*100/D9,2)&amp;"%"</f>
        <v>LTV 66.67%</v>
      </c>
      <c r="F9" s="34"/>
      <c r="G9" s="2"/>
      <c r="H9" s="2"/>
      <c r="I9" s="2"/>
      <c r="J9" s="2"/>
    </row>
    <row r="10" spans="2:10" ht="15.75">
      <c r="B10" s="77"/>
      <c r="C10" s="21" t="s">
        <v>14</v>
      </c>
      <c r="D10" s="11">
        <v>30</v>
      </c>
      <c r="E10" s="79" t="str">
        <f>IF(D10&gt;30,"Maximum 30yrs","Years")</f>
        <v>Years</v>
      </c>
      <c r="F10" s="3" t="str">
        <f>FIXED(D10*12,0)&amp;" months"</f>
        <v>360 months</v>
      </c>
      <c r="G10" s="2"/>
      <c r="H10" s="2"/>
      <c r="I10" s="2"/>
      <c r="J10" s="2"/>
    </row>
    <row r="11" spans="2:12" ht="15.75">
      <c r="B11" s="77"/>
      <c r="C11" s="21" t="s">
        <v>15</v>
      </c>
      <c r="D11" s="12">
        <v>0</v>
      </c>
      <c r="E11" s="80" t="str">
        <f>IF(D11=0,"Repayment",IF(D11=D8,"Interest-only","Mixed"))</f>
        <v>Repayment</v>
      </c>
      <c r="F11" s="3" t="s">
        <v>18</v>
      </c>
      <c r="G11" s="2"/>
      <c r="H11" s="2"/>
      <c r="I11" s="2"/>
      <c r="J11" s="2"/>
      <c r="K11" s="3"/>
      <c r="L11" s="3"/>
    </row>
    <row r="12" spans="2:12" ht="15.75">
      <c r="B12" s="77"/>
      <c r="C12" s="21" t="s">
        <v>16</v>
      </c>
      <c r="D12" s="11">
        <v>12</v>
      </c>
      <c r="E12" s="79" t="s">
        <v>1</v>
      </c>
      <c r="F12" s="3" t="s">
        <v>22</v>
      </c>
      <c r="G12" s="2"/>
      <c r="H12" s="2"/>
      <c r="I12" s="2"/>
      <c r="J12" s="2"/>
      <c r="K12" s="3"/>
      <c r="L12" s="3"/>
    </row>
    <row r="13" spans="2:12" ht="16.5" thickBot="1">
      <c r="B13" s="81"/>
      <c r="C13" s="82" t="s">
        <v>17</v>
      </c>
      <c r="D13" s="83" t="s">
        <v>34</v>
      </c>
      <c r="E13" s="84" t="s">
        <v>9</v>
      </c>
      <c r="F13" s="1" t="str">
        <f>IF(D13="y","Actual payment is the higher of the Minimum and the Desired payment","Actual payment is equal to the Desired payment, even if less than the Minimum")</f>
        <v>Actual payment is equal to the Desired payment, even if less than the Minimum</v>
      </c>
      <c r="G13" s="2"/>
      <c r="H13" s="2"/>
      <c r="I13" s="2"/>
      <c r="J13" s="2"/>
      <c r="K13" s="3"/>
      <c r="L13" s="3"/>
    </row>
    <row r="14" spans="2:12" ht="16.5" thickTop="1">
      <c r="B14" s="33" t="s">
        <v>30</v>
      </c>
      <c r="C14" s="32" t="s">
        <v>32</v>
      </c>
      <c r="D14" s="13"/>
      <c r="E14" s="14"/>
      <c r="F14" s="3"/>
      <c r="G14" s="2"/>
      <c r="H14" s="2"/>
      <c r="I14" s="2"/>
      <c r="J14" s="2"/>
      <c r="K14" s="3"/>
      <c r="L14" s="3"/>
    </row>
    <row r="15" spans="2:13" ht="15">
      <c r="B15" s="33"/>
      <c r="C15" s="33" t="s">
        <v>31</v>
      </c>
      <c r="E15" s="2"/>
      <c r="F15" s="3"/>
      <c r="G15" s="2"/>
      <c r="H15" s="2"/>
      <c r="I15" s="2"/>
      <c r="J15"/>
      <c r="K15"/>
      <c r="L15"/>
      <c r="M15"/>
    </row>
    <row r="16" spans="3:13" ht="15">
      <c r="C16" s="33" t="s">
        <v>33</v>
      </c>
      <c r="E16" s="2"/>
      <c r="F16" s="3"/>
      <c r="G16" s="2"/>
      <c r="H16" s="2"/>
      <c r="I16" s="53"/>
      <c r="J16"/>
      <c r="K16"/>
      <c r="L16"/>
      <c r="M16"/>
    </row>
    <row r="17" spans="3:13" ht="4.5" customHeight="1" thickBot="1">
      <c r="C17" s="33"/>
      <c r="E17" s="2"/>
      <c r="F17" s="3"/>
      <c r="G17" s="2"/>
      <c r="H17" s="2"/>
      <c r="I17" s="53"/>
      <c r="J17"/>
      <c r="K17"/>
      <c r="L17"/>
      <c r="M17"/>
    </row>
    <row r="18" spans="2:14" ht="15.75" thickTop="1">
      <c r="B18" s="35" t="s">
        <v>2</v>
      </c>
      <c r="C18" s="36" t="s">
        <v>3</v>
      </c>
      <c r="D18" s="36" t="s">
        <v>4</v>
      </c>
      <c r="E18" s="36" t="s">
        <v>5</v>
      </c>
      <c r="F18" s="36" t="s">
        <v>11</v>
      </c>
      <c r="G18" s="37" t="s">
        <v>6</v>
      </c>
      <c r="H18" s="35" t="s">
        <v>28</v>
      </c>
      <c r="I18" s="36" t="s">
        <v>24</v>
      </c>
      <c r="J18" s="66" t="s">
        <v>25</v>
      </c>
      <c r="K18"/>
      <c r="L18"/>
      <c r="M18"/>
      <c r="N18" s="4"/>
    </row>
    <row r="19" spans="2:14" ht="15">
      <c r="B19" s="38"/>
      <c r="C19" s="5" t="s">
        <v>0</v>
      </c>
      <c r="D19" s="5" t="s">
        <v>7</v>
      </c>
      <c r="E19" s="5" t="s">
        <v>7</v>
      </c>
      <c r="F19" s="5" t="s">
        <v>7</v>
      </c>
      <c r="G19" s="39" t="s">
        <v>8</v>
      </c>
      <c r="H19" s="51" t="s">
        <v>29</v>
      </c>
      <c r="I19" s="5" t="s">
        <v>23</v>
      </c>
      <c r="J19" s="67"/>
      <c r="K19"/>
      <c r="L19"/>
      <c r="M19"/>
      <c r="N19" s="4"/>
    </row>
    <row r="20" spans="1:14" ht="15">
      <c r="A20" s="2"/>
      <c r="B20" s="40">
        <v>1</v>
      </c>
      <c r="C20" s="41">
        <v>5</v>
      </c>
      <c r="D20" s="29">
        <f>-PMT(C20/(D$12*100),D$12*(D$10-0),D$8,-D$11)*D$12/12</f>
        <v>1073.6432460242781</v>
      </c>
      <c r="E20" s="22">
        <f>D8*C20/1200</f>
        <v>833.3333333333334</v>
      </c>
      <c r="F20" s="18">
        <f>IF($D$13="y",MAX(E20,D20),E20)</f>
        <v>833.3333333333334</v>
      </c>
      <c r="G20" s="42">
        <f>-FV(C20/(D$12*100),D$12,-F20*12/D$12,D8)</f>
        <v>200000</v>
      </c>
      <c r="H20" s="68">
        <v>0.03</v>
      </c>
      <c r="I20" s="52">
        <f>D$9*(1+H20)</f>
        <v>309000</v>
      </c>
      <c r="J20" s="69">
        <f>I20-G20</f>
        <v>109000</v>
      </c>
      <c r="K20"/>
      <c r="L20"/>
      <c r="M20"/>
      <c r="N20" s="2"/>
    </row>
    <row r="21" spans="1:14" ht="15">
      <c r="A21" s="2"/>
      <c r="B21" s="40">
        <f aca="true" t="shared" si="0" ref="B21:B49">1+B20</f>
        <v>2</v>
      </c>
      <c r="C21" s="41">
        <f>C20</f>
        <v>5</v>
      </c>
      <c r="D21" s="15">
        <f>IF(B21&gt;D$10,0,PMT(C21/(D$12*100),D$12*(D$10-B20),-G20,D$11))*D$12/12</f>
        <v>1089.7206062118353</v>
      </c>
      <c r="E21" s="22">
        <f>E20</f>
        <v>833.3333333333334</v>
      </c>
      <c r="F21" s="18">
        <f aca="true" t="shared" si="1" ref="F21:F44">IF($D$13="y",MAX(E21,D21),E21)</f>
        <v>833.3333333333334</v>
      </c>
      <c r="G21" s="42">
        <f>IF(B21&gt;D$10,0,-FV(C21/(D$12*100),D$12,-F21*12/D$12,G20))</f>
        <v>200000</v>
      </c>
      <c r="H21" s="70">
        <f>H20</f>
        <v>0.03</v>
      </c>
      <c r="I21" s="55">
        <f>I20*(1+H21)</f>
        <v>318270</v>
      </c>
      <c r="J21" s="69">
        <f>I21-G21</f>
        <v>118270</v>
      </c>
      <c r="K21"/>
      <c r="L21"/>
      <c r="M21"/>
      <c r="N21" s="6"/>
    </row>
    <row r="22" spans="1:14" ht="15">
      <c r="A22" s="2"/>
      <c r="B22" s="40">
        <f t="shared" si="0"/>
        <v>3</v>
      </c>
      <c r="C22" s="41">
        <f aca="true" t="shared" si="2" ref="C22:C49">C21</f>
        <v>5</v>
      </c>
      <c r="D22" s="15">
        <f>IF(B22&gt;D$10,0,PMT(C22/(D$12*100),D$12*(D$10-B21),-G21,D$11))*D$12/12</f>
        <v>1107.1479017751694</v>
      </c>
      <c r="E22" s="22">
        <f>E21</f>
        <v>833.3333333333334</v>
      </c>
      <c r="F22" s="18">
        <f t="shared" si="1"/>
        <v>833.3333333333334</v>
      </c>
      <c r="G22" s="42">
        <f aca="true" t="shared" si="3" ref="G22:G44">IF(B22&gt;D$10,0,-FV(C22/(D$12*100),D$12,-F22*12/D$12,G21))</f>
        <v>200000</v>
      </c>
      <c r="H22" s="70">
        <f aca="true" t="shared" si="4" ref="H22:H49">H21</f>
        <v>0.03</v>
      </c>
      <c r="I22" s="55">
        <f aca="true" t="shared" si="5" ref="I22:I44">I21*(1+H22)</f>
        <v>327818.10000000003</v>
      </c>
      <c r="J22" s="69">
        <f aca="true" t="shared" si="6" ref="J22:J44">I22-G22</f>
        <v>127818.10000000003</v>
      </c>
      <c r="K22"/>
      <c r="L22"/>
      <c r="M22"/>
      <c r="N22" s="6"/>
    </row>
    <row r="23" spans="1:14" ht="15">
      <c r="A23" s="2"/>
      <c r="B23" s="40">
        <f t="shared" si="0"/>
        <v>4</v>
      </c>
      <c r="C23" s="41">
        <f t="shared" si="2"/>
        <v>5</v>
      </c>
      <c r="D23" s="15">
        <f>IF(B23&gt;D$10,0,PMT(C23/(D$12*100),D$12*(D$10-B22),-G22,D$11))*D$12/12</f>
        <v>1126.0780022260446</v>
      </c>
      <c r="E23" s="22">
        <f>E22</f>
        <v>833.3333333333334</v>
      </c>
      <c r="F23" s="18">
        <f t="shared" si="1"/>
        <v>833.3333333333334</v>
      </c>
      <c r="G23" s="42">
        <f t="shared" si="3"/>
        <v>200000</v>
      </c>
      <c r="H23" s="70">
        <f t="shared" si="4"/>
        <v>0.03</v>
      </c>
      <c r="I23" s="55">
        <f t="shared" si="5"/>
        <v>337652.64300000004</v>
      </c>
      <c r="J23" s="69">
        <f t="shared" si="6"/>
        <v>137652.64300000004</v>
      </c>
      <c r="K23"/>
      <c r="L23"/>
      <c r="M23"/>
      <c r="N23" s="6"/>
    </row>
    <row r="24" spans="1:14" ht="15">
      <c r="A24" s="2"/>
      <c r="B24" s="40">
        <f t="shared" si="0"/>
        <v>5</v>
      </c>
      <c r="C24" s="30">
        <f t="shared" si="2"/>
        <v>5</v>
      </c>
      <c r="D24" s="31">
        <f>IF(B24&gt;D$10,0,PMT(C24/(D$12*100),D$12*(D$10-B23),-G23,D$11))*D$12/12</f>
        <v>1146.6872369820928</v>
      </c>
      <c r="E24" s="7">
        <f>E23</f>
        <v>833.3333333333334</v>
      </c>
      <c r="F24" s="17">
        <f t="shared" si="1"/>
        <v>833.3333333333334</v>
      </c>
      <c r="G24" s="43">
        <f t="shared" si="3"/>
        <v>200000</v>
      </c>
      <c r="H24" s="64">
        <f t="shared" si="4"/>
        <v>0.03</v>
      </c>
      <c r="I24" s="65">
        <f t="shared" si="5"/>
        <v>347782.22229000006</v>
      </c>
      <c r="J24" s="71">
        <f t="shared" si="6"/>
        <v>147782.22229000006</v>
      </c>
      <c r="K24"/>
      <c r="L24"/>
      <c r="M24"/>
      <c r="N24" s="6"/>
    </row>
    <row r="25" spans="1:14" ht="15">
      <c r="A25" s="2"/>
      <c r="B25" s="44">
        <f t="shared" si="0"/>
        <v>6</v>
      </c>
      <c r="C25" s="41">
        <f t="shared" si="2"/>
        <v>5</v>
      </c>
      <c r="D25" s="15">
        <f aca="true" t="shared" si="7" ref="D25:D44">IF(B25&gt;D$10,0,PMT(C25/(D$12*100),D$12*(D$10-B24),-G24,D$11))*D$12/12</f>
        <v>1169.1800830159582</v>
      </c>
      <c r="E25" s="22">
        <f>D25</f>
        <v>1169.1800830159582</v>
      </c>
      <c r="F25" s="18">
        <f t="shared" si="1"/>
        <v>1169.1800830159582</v>
      </c>
      <c r="G25" s="42">
        <f t="shared" si="3"/>
        <v>195876.1862933181</v>
      </c>
      <c r="H25" s="70">
        <f t="shared" si="4"/>
        <v>0.03</v>
      </c>
      <c r="I25" s="55">
        <f t="shared" si="5"/>
        <v>358215.68895870005</v>
      </c>
      <c r="J25" s="69">
        <f t="shared" si="6"/>
        <v>162339.50266538194</v>
      </c>
      <c r="K25"/>
      <c r="L25"/>
      <c r="M25"/>
      <c r="N25" s="6"/>
    </row>
    <row r="26" spans="1:14" ht="15">
      <c r="A26" s="2"/>
      <c r="B26" s="40">
        <f t="shared" si="0"/>
        <v>7</v>
      </c>
      <c r="C26" s="41">
        <f t="shared" si="2"/>
        <v>5</v>
      </c>
      <c r="D26" s="15">
        <f t="shared" si="7"/>
        <v>1169.1800830159582</v>
      </c>
      <c r="E26" s="22">
        <f>E25</f>
        <v>1169.1800830159582</v>
      </c>
      <c r="F26" s="18">
        <f t="shared" si="1"/>
        <v>1169.1800830159582</v>
      </c>
      <c r="G26" s="42">
        <f t="shared" si="3"/>
        <v>191541.39045089166</v>
      </c>
      <c r="H26" s="70">
        <f t="shared" si="4"/>
        <v>0.03</v>
      </c>
      <c r="I26" s="55">
        <f t="shared" si="5"/>
        <v>368962.15962746105</v>
      </c>
      <c r="J26" s="69">
        <f t="shared" si="6"/>
        <v>177420.7691765694</v>
      </c>
      <c r="K26"/>
      <c r="L26"/>
      <c r="M26"/>
      <c r="N26" s="6"/>
    </row>
    <row r="27" spans="1:14" ht="15">
      <c r="A27" s="2"/>
      <c r="B27" s="40">
        <f t="shared" si="0"/>
        <v>8</v>
      </c>
      <c r="C27" s="41">
        <f t="shared" si="2"/>
        <v>5</v>
      </c>
      <c r="D27" s="15">
        <f t="shared" si="7"/>
        <v>1169.180083015958</v>
      </c>
      <c r="E27" s="22">
        <f>D27</f>
        <v>1169.180083015958</v>
      </c>
      <c r="F27" s="18">
        <f t="shared" si="1"/>
        <v>1169.180083015958</v>
      </c>
      <c r="G27" s="42">
        <f t="shared" si="3"/>
        <v>186984.81822623682</v>
      </c>
      <c r="H27" s="70">
        <f t="shared" si="4"/>
        <v>0.03</v>
      </c>
      <c r="I27" s="55">
        <f t="shared" si="5"/>
        <v>380031.02441628487</v>
      </c>
      <c r="J27" s="69">
        <f t="shared" si="6"/>
        <v>193046.20619004805</v>
      </c>
      <c r="K27"/>
      <c r="L27"/>
      <c r="M27"/>
      <c r="N27" s="6"/>
    </row>
    <row r="28" spans="1:14" ht="15">
      <c r="A28" s="2"/>
      <c r="B28" s="40">
        <f t="shared" si="0"/>
        <v>9</v>
      </c>
      <c r="C28" s="41">
        <f t="shared" si="2"/>
        <v>5</v>
      </c>
      <c r="D28" s="15">
        <f t="shared" si="7"/>
        <v>1169.1800830159577</v>
      </c>
      <c r="E28" s="22">
        <f>D28</f>
        <v>1169.1800830159577</v>
      </c>
      <c r="F28" s="18">
        <f t="shared" si="1"/>
        <v>1169.1800830159577</v>
      </c>
      <c r="G28" s="42">
        <f t="shared" si="3"/>
        <v>182195.12311873346</v>
      </c>
      <c r="H28" s="70">
        <f t="shared" si="4"/>
        <v>0.03</v>
      </c>
      <c r="I28" s="55">
        <f t="shared" si="5"/>
        <v>391431.95514877344</v>
      </c>
      <c r="J28" s="69">
        <f t="shared" si="6"/>
        <v>209236.83203003998</v>
      </c>
      <c r="K28"/>
      <c r="L28"/>
      <c r="M28"/>
      <c r="N28" s="6"/>
    </row>
    <row r="29" spans="1:14" ht="15">
      <c r="A29" s="2"/>
      <c r="B29" s="40">
        <f t="shared" si="0"/>
        <v>10</v>
      </c>
      <c r="C29" s="30">
        <f t="shared" si="2"/>
        <v>5</v>
      </c>
      <c r="D29" s="31">
        <f t="shared" si="7"/>
        <v>1169.1800830159573</v>
      </c>
      <c r="E29" s="7">
        <f>D29</f>
        <v>1169.1800830159573</v>
      </c>
      <c r="F29" s="17">
        <f t="shared" si="1"/>
        <v>1169.1800830159573</v>
      </c>
      <c r="G29" s="43">
        <f t="shared" si="3"/>
        <v>177160.3781192554</v>
      </c>
      <c r="H29" s="64">
        <f t="shared" si="4"/>
        <v>0.03</v>
      </c>
      <c r="I29" s="65">
        <f t="shared" si="5"/>
        <v>403174.9138032367</v>
      </c>
      <c r="J29" s="71">
        <f t="shared" si="6"/>
        <v>226014.5356839813</v>
      </c>
      <c r="K29"/>
      <c r="L29"/>
      <c r="M29"/>
      <c r="N29" s="6"/>
    </row>
    <row r="30" spans="1:14" ht="15">
      <c r="A30" s="2"/>
      <c r="B30" s="44">
        <f t="shared" si="0"/>
        <v>11</v>
      </c>
      <c r="C30" s="41">
        <f t="shared" si="2"/>
        <v>5</v>
      </c>
      <c r="D30" s="15">
        <f t="shared" si="7"/>
        <v>1169.1800830159573</v>
      </c>
      <c r="E30" s="22">
        <f>D30</f>
        <v>1169.1800830159573</v>
      </c>
      <c r="F30" s="18">
        <f t="shared" si="1"/>
        <v>1169.1800830159573</v>
      </c>
      <c r="G30" s="42">
        <f t="shared" si="3"/>
        <v>171868.04601025346</v>
      </c>
      <c r="H30" s="70">
        <f t="shared" si="4"/>
        <v>0.03</v>
      </c>
      <c r="I30" s="55">
        <f t="shared" si="5"/>
        <v>415270.1612173338</v>
      </c>
      <c r="J30" s="69">
        <f t="shared" si="6"/>
        <v>243402.11520708035</v>
      </c>
      <c r="K30"/>
      <c r="L30"/>
      <c r="M30"/>
      <c r="N30" s="6"/>
    </row>
    <row r="31" spans="1:14" ht="15">
      <c r="A31" s="2"/>
      <c r="B31" s="40">
        <f t="shared" si="0"/>
        <v>12</v>
      </c>
      <c r="C31" s="41">
        <f t="shared" si="2"/>
        <v>5</v>
      </c>
      <c r="D31" s="15">
        <f t="shared" si="7"/>
        <v>1169.180083015957</v>
      </c>
      <c r="E31" s="22">
        <f>E30</f>
        <v>1169.1800830159573</v>
      </c>
      <c r="F31" s="18">
        <f t="shared" si="1"/>
        <v>1169.1800830159573</v>
      </c>
      <c r="G31" s="42">
        <f t="shared" si="3"/>
        <v>166304.94814633456</v>
      </c>
      <c r="H31" s="70">
        <f t="shared" si="4"/>
        <v>0.03</v>
      </c>
      <c r="I31" s="55">
        <f t="shared" si="5"/>
        <v>427728.26605385385</v>
      </c>
      <c r="J31" s="69">
        <f t="shared" si="6"/>
        <v>261423.3179075193</v>
      </c>
      <c r="K31"/>
      <c r="L31"/>
      <c r="M31"/>
      <c r="N31" s="6"/>
    </row>
    <row r="32" spans="1:14" ht="15">
      <c r="A32" s="2"/>
      <c r="B32" s="40">
        <f t="shared" si="0"/>
        <v>13</v>
      </c>
      <c r="C32" s="41">
        <f t="shared" si="2"/>
        <v>5</v>
      </c>
      <c r="D32" s="15">
        <f t="shared" si="7"/>
        <v>1169.180083015957</v>
      </c>
      <c r="E32" s="22">
        <f>D32</f>
        <v>1169.180083015957</v>
      </c>
      <c r="F32" s="18">
        <f t="shared" si="1"/>
        <v>1169.180083015957</v>
      </c>
      <c r="G32" s="42">
        <f t="shared" si="3"/>
        <v>160457.23163759575</v>
      </c>
      <c r="H32" s="70">
        <f t="shared" si="4"/>
        <v>0.03</v>
      </c>
      <c r="I32" s="55">
        <f t="shared" si="5"/>
        <v>440560.1140354695</v>
      </c>
      <c r="J32" s="69">
        <f t="shared" si="6"/>
        <v>280102.88239787373</v>
      </c>
      <c r="K32"/>
      <c r="L32"/>
      <c r="M32"/>
      <c r="N32" s="6"/>
    </row>
    <row r="33" spans="1:14" ht="15">
      <c r="A33" s="2"/>
      <c r="B33" s="40">
        <f t="shared" si="0"/>
        <v>14</v>
      </c>
      <c r="C33" s="41">
        <f t="shared" si="2"/>
        <v>5</v>
      </c>
      <c r="D33" s="15">
        <f t="shared" si="7"/>
        <v>1169.1800830159568</v>
      </c>
      <c r="E33" s="22">
        <f>D33</f>
        <v>1169.1800830159568</v>
      </c>
      <c r="F33" s="18">
        <f t="shared" si="1"/>
        <v>1169.1800830159568</v>
      </c>
      <c r="G33" s="42">
        <f t="shared" si="3"/>
        <v>154310.3348539955</v>
      </c>
      <c r="H33" s="70">
        <f t="shared" si="4"/>
        <v>0.03</v>
      </c>
      <c r="I33" s="55">
        <f t="shared" si="5"/>
        <v>453776.9174565336</v>
      </c>
      <c r="J33" s="69">
        <f t="shared" si="6"/>
        <v>299466.58260253805</v>
      </c>
      <c r="K33"/>
      <c r="L33"/>
      <c r="M33"/>
      <c r="N33" s="6"/>
    </row>
    <row r="34" spans="1:14" ht="15">
      <c r="A34" s="2"/>
      <c r="B34" s="40">
        <f t="shared" si="0"/>
        <v>15</v>
      </c>
      <c r="C34" s="30">
        <f t="shared" si="2"/>
        <v>5</v>
      </c>
      <c r="D34" s="31">
        <f t="shared" si="7"/>
        <v>1169.1800830159566</v>
      </c>
      <c r="E34" s="7">
        <f>D34</f>
        <v>1169.1800830159566</v>
      </c>
      <c r="F34" s="17">
        <f t="shared" si="1"/>
        <v>1169.1800830159566</v>
      </c>
      <c r="G34" s="43">
        <f t="shared" si="3"/>
        <v>147848.95116486316</v>
      </c>
      <c r="H34" s="64">
        <f t="shared" si="4"/>
        <v>0.03</v>
      </c>
      <c r="I34" s="65">
        <f t="shared" si="5"/>
        <v>467390.2249802296</v>
      </c>
      <c r="J34" s="71">
        <f t="shared" si="6"/>
        <v>319541.27381536644</v>
      </c>
      <c r="K34"/>
      <c r="L34"/>
      <c r="M34"/>
      <c r="N34" s="6"/>
    </row>
    <row r="35" spans="1:14" ht="15">
      <c r="A35" s="2"/>
      <c r="B35" s="44">
        <f t="shared" si="0"/>
        <v>16</v>
      </c>
      <c r="C35" s="41">
        <f t="shared" si="2"/>
        <v>5</v>
      </c>
      <c r="D35" s="15">
        <f t="shared" si="7"/>
        <v>1169.1800830159564</v>
      </c>
      <c r="E35" s="22">
        <f>D35</f>
        <v>1169.1800830159564</v>
      </c>
      <c r="F35" s="18">
        <f t="shared" si="1"/>
        <v>1169.1800830159564</v>
      </c>
      <c r="G35" s="42">
        <f t="shared" si="3"/>
        <v>141056.99082325274</v>
      </c>
      <c r="H35" s="70">
        <f t="shared" si="4"/>
        <v>0.03</v>
      </c>
      <c r="I35" s="55">
        <f t="shared" si="5"/>
        <v>481411.9317296365</v>
      </c>
      <c r="J35" s="69">
        <f t="shared" si="6"/>
        <v>340354.9409063838</v>
      </c>
      <c r="K35"/>
      <c r="L35"/>
      <c r="M35"/>
      <c r="N35" s="6"/>
    </row>
    <row r="36" spans="1:14" ht="15">
      <c r="A36" s="2"/>
      <c r="B36" s="40">
        <f t="shared" si="0"/>
        <v>17</v>
      </c>
      <c r="C36" s="41">
        <f t="shared" si="2"/>
        <v>5</v>
      </c>
      <c r="D36" s="15">
        <f t="shared" si="7"/>
        <v>1169.1800830159564</v>
      </c>
      <c r="E36" s="22">
        <f>E35</f>
        <v>1169.1800830159564</v>
      </c>
      <c r="F36" s="18">
        <f t="shared" si="1"/>
        <v>1169.1800830159564</v>
      </c>
      <c r="G36" s="42">
        <f t="shared" si="3"/>
        <v>133917.54090022805</v>
      </c>
      <c r="H36" s="70">
        <f t="shared" si="4"/>
        <v>0.03</v>
      </c>
      <c r="I36" s="55">
        <f t="shared" si="5"/>
        <v>495854.2896815256</v>
      </c>
      <c r="J36" s="69">
        <f t="shared" si="6"/>
        <v>361936.7487812976</v>
      </c>
      <c r="K36"/>
      <c r="L36"/>
      <c r="M36"/>
      <c r="N36" s="6"/>
    </row>
    <row r="37" spans="1:14" ht="15">
      <c r="A37" s="2"/>
      <c r="B37" s="40">
        <f t="shared" si="0"/>
        <v>18</v>
      </c>
      <c r="C37" s="41">
        <f t="shared" si="2"/>
        <v>5</v>
      </c>
      <c r="D37" s="15">
        <f t="shared" si="7"/>
        <v>1169.180083015956</v>
      </c>
      <c r="E37" s="22">
        <f aca="true" t="shared" si="8" ref="E37:E44">D37</f>
        <v>1169.180083015956</v>
      </c>
      <c r="F37" s="18">
        <f t="shared" si="1"/>
        <v>1169.180083015956</v>
      </c>
      <c r="G37" s="42">
        <f t="shared" si="3"/>
        <v>126412.82316930982</v>
      </c>
      <c r="H37" s="70">
        <f t="shared" si="4"/>
        <v>0.03</v>
      </c>
      <c r="I37" s="55">
        <f t="shared" si="5"/>
        <v>510729.9183719714</v>
      </c>
      <c r="J37" s="69">
        <f t="shared" si="6"/>
        <v>384317.0952026616</v>
      </c>
      <c r="K37"/>
      <c r="L37"/>
      <c r="M37"/>
      <c r="N37" s="6"/>
    </row>
    <row r="38" spans="1:14" ht="15">
      <c r="A38" s="2"/>
      <c r="B38" s="40">
        <f t="shared" si="0"/>
        <v>19</v>
      </c>
      <c r="C38" s="41">
        <f t="shared" si="2"/>
        <v>5</v>
      </c>
      <c r="D38" s="15">
        <f t="shared" si="7"/>
        <v>1169.1800830159557</v>
      </c>
      <c r="E38" s="22">
        <f t="shared" si="8"/>
        <v>1169.1800830159557</v>
      </c>
      <c r="F38" s="18">
        <f t="shared" si="1"/>
        <v>1169.1800830159557</v>
      </c>
      <c r="G38" s="42">
        <f t="shared" si="3"/>
        <v>118524.14983621113</v>
      </c>
      <c r="H38" s="70">
        <f t="shared" si="4"/>
        <v>0.03</v>
      </c>
      <c r="I38" s="55">
        <f t="shared" si="5"/>
        <v>526051.8159231306</v>
      </c>
      <c r="J38" s="69">
        <f t="shared" si="6"/>
        <v>407527.6660869195</v>
      </c>
      <c r="K38"/>
      <c r="L38"/>
      <c r="M38"/>
      <c r="N38" s="6"/>
    </row>
    <row r="39" spans="1:14" ht="15">
      <c r="A39" s="2"/>
      <c r="B39" s="40">
        <f t="shared" si="0"/>
        <v>20</v>
      </c>
      <c r="C39" s="30">
        <f t="shared" si="2"/>
        <v>5</v>
      </c>
      <c r="D39" s="31">
        <f t="shared" si="7"/>
        <v>1169.1800830159552</v>
      </c>
      <c r="E39" s="7">
        <f t="shared" si="8"/>
        <v>1169.1800830159552</v>
      </c>
      <c r="F39" s="17">
        <f t="shared" si="1"/>
        <v>1169.1800830159552</v>
      </c>
      <c r="G39" s="43">
        <f t="shared" si="3"/>
        <v>110231.8770036221</v>
      </c>
      <c r="H39" s="64">
        <f t="shared" si="4"/>
        <v>0.03</v>
      </c>
      <c r="I39" s="65">
        <f t="shared" si="5"/>
        <v>541833.3704008246</v>
      </c>
      <c r="J39" s="71">
        <f t="shared" si="6"/>
        <v>431601.49339720246</v>
      </c>
      <c r="K39"/>
      <c r="L39"/>
      <c r="M39"/>
      <c r="N39" s="6"/>
    </row>
    <row r="40" spans="1:14" ht="15">
      <c r="A40" s="2"/>
      <c r="B40" s="44">
        <f t="shared" si="0"/>
        <v>21</v>
      </c>
      <c r="C40" s="41">
        <f t="shared" si="2"/>
        <v>5</v>
      </c>
      <c r="D40" s="15">
        <f t="shared" si="7"/>
        <v>1169.1800830159548</v>
      </c>
      <c r="E40" s="22">
        <f t="shared" si="8"/>
        <v>1169.1800830159548</v>
      </c>
      <c r="F40" s="18">
        <f t="shared" si="1"/>
        <v>1169.1800830159548</v>
      </c>
      <c r="G40" s="42">
        <f t="shared" si="3"/>
        <v>101515.35575516467</v>
      </c>
      <c r="H40" s="70">
        <f t="shared" si="4"/>
        <v>0.03</v>
      </c>
      <c r="I40" s="55">
        <f t="shared" si="5"/>
        <v>558088.3715128493</v>
      </c>
      <c r="J40" s="69">
        <f t="shared" si="6"/>
        <v>456573.0157576847</v>
      </c>
      <c r="K40"/>
      <c r="L40"/>
      <c r="M40"/>
      <c r="N40" s="6"/>
    </row>
    <row r="41" spans="1:14" ht="15">
      <c r="A41" s="2"/>
      <c r="B41" s="40">
        <f t="shared" si="0"/>
        <v>22</v>
      </c>
      <c r="C41" s="41">
        <f t="shared" si="2"/>
        <v>5</v>
      </c>
      <c r="D41" s="15">
        <f t="shared" si="7"/>
        <v>1169.1800830159543</v>
      </c>
      <c r="E41" s="22">
        <f t="shared" si="8"/>
        <v>1169.1800830159543</v>
      </c>
      <c r="F41" s="18">
        <f t="shared" si="1"/>
        <v>1169.1800830159543</v>
      </c>
      <c r="G41" s="42">
        <f t="shared" si="3"/>
        <v>92352.88073670972</v>
      </c>
      <c r="H41" s="70">
        <f t="shared" si="4"/>
        <v>0.03</v>
      </c>
      <c r="I41" s="55">
        <f t="shared" si="5"/>
        <v>574831.0226582348</v>
      </c>
      <c r="J41" s="69">
        <f t="shared" si="6"/>
        <v>482478.1419215251</v>
      </c>
      <c r="K41"/>
      <c r="L41"/>
      <c r="M41"/>
      <c r="N41" s="6"/>
    </row>
    <row r="42" spans="1:14" ht="15">
      <c r="A42" s="2"/>
      <c r="B42" s="40">
        <f t="shared" si="0"/>
        <v>23</v>
      </c>
      <c r="C42" s="41">
        <f t="shared" si="2"/>
        <v>5</v>
      </c>
      <c r="D42" s="15">
        <f t="shared" si="7"/>
        <v>1169.1800830159534</v>
      </c>
      <c r="E42" s="22">
        <f t="shared" si="8"/>
        <v>1169.1800830159534</v>
      </c>
      <c r="F42" s="18">
        <f t="shared" si="1"/>
        <v>1169.1800830159534</v>
      </c>
      <c r="G42" s="42">
        <f t="shared" si="3"/>
        <v>82721.63610701665</v>
      </c>
      <c r="H42" s="70">
        <f t="shared" si="4"/>
        <v>0.03</v>
      </c>
      <c r="I42" s="55">
        <f t="shared" si="5"/>
        <v>592075.9533379818</v>
      </c>
      <c r="J42" s="69">
        <f t="shared" si="6"/>
        <v>509354.3172309652</v>
      </c>
      <c r="K42"/>
      <c r="L42"/>
      <c r="M42"/>
      <c r="N42" s="6"/>
    </row>
    <row r="43" spans="1:14" ht="15">
      <c r="A43" s="2"/>
      <c r="B43" s="40">
        <f t="shared" si="0"/>
        <v>24</v>
      </c>
      <c r="C43" s="41">
        <f t="shared" si="2"/>
        <v>5</v>
      </c>
      <c r="D43" s="15">
        <f t="shared" si="7"/>
        <v>1169.180083015953</v>
      </c>
      <c r="E43" s="22">
        <f t="shared" si="8"/>
        <v>1169.180083015953</v>
      </c>
      <c r="F43" s="18">
        <f t="shared" si="1"/>
        <v>1169.180083015953</v>
      </c>
      <c r="G43" s="42">
        <f t="shared" si="3"/>
        <v>72597.63872310524</v>
      </c>
      <c r="H43" s="70">
        <f t="shared" si="4"/>
        <v>0.03</v>
      </c>
      <c r="I43" s="55">
        <f t="shared" si="5"/>
        <v>609838.2319381213</v>
      </c>
      <c r="J43" s="69">
        <f t="shared" si="6"/>
        <v>537240.5932150161</v>
      </c>
      <c r="K43"/>
      <c r="L43"/>
      <c r="M43"/>
      <c r="N43" s="6"/>
    </row>
    <row r="44" spans="1:14" ht="15">
      <c r="A44" s="2"/>
      <c r="B44" s="63">
        <f t="shared" si="0"/>
        <v>25</v>
      </c>
      <c r="C44" s="30">
        <f t="shared" si="2"/>
        <v>5</v>
      </c>
      <c r="D44" s="31">
        <f t="shared" si="7"/>
        <v>1169.1800830159523</v>
      </c>
      <c r="E44" s="7">
        <f t="shared" si="8"/>
        <v>1169.1800830159523</v>
      </c>
      <c r="F44" s="17">
        <f t="shared" si="1"/>
        <v>1169.1800830159523</v>
      </c>
      <c r="G44" s="43">
        <f t="shared" si="3"/>
        <v>61955.67841888322</v>
      </c>
      <c r="H44" s="64">
        <f t="shared" si="4"/>
        <v>0.03</v>
      </c>
      <c r="I44" s="65">
        <f t="shared" si="5"/>
        <v>628133.3788962649</v>
      </c>
      <c r="J44" s="71">
        <f t="shared" si="6"/>
        <v>566177.7004773817</v>
      </c>
      <c r="K44"/>
      <c r="L44"/>
      <c r="M44"/>
      <c r="N44" s="62"/>
    </row>
    <row r="45" spans="1:14" ht="15">
      <c r="A45" s="2"/>
      <c r="B45" s="40">
        <f t="shared" si="0"/>
        <v>26</v>
      </c>
      <c r="C45" s="41">
        <f t="shared" si="2"/>
        <v>5</v>
      </c>
      <c r="D45" s="15">
        <f>IF(B45&gt;D$10,0,PMT(C45/(D$12*100),D$12*(D$10-B44),-G44,D$11))*D$12/12</f>
        <v>1169.1800830159511</v>
      </c>
      <c r="E45" s="22">
        <f>D45</f>
        <v>1169.1800830159511</v>
      </c>
      <c r="F45" s="18">
        <f>IF($D$13="y",MAX(E45,D45),E45)</f>
        <v>1169.1800830159511</v>
      </c>
      <c r="G45" s="42">
        <f>IF(B45&gt;D$10,0,-FV(C45/(D$12*100),D$12,-F45*12/D$12,G44))</f>
        <v>50769.25522831515</v>
      </c>
      <c r="H45" s="70">
        <f t="shared" si="4"/>
        <v>0.03</v>
      </c>
      <c r="I45" s="55">
        <f>I44*(1+H45)</f>
        <v>646977.3802631529</v>
      </c>
      <c r="J45" s="69">
        <f>I45-G45</f>
        <v>596208.1250348378</v>
      </c>
      <c r="K45"/>
      <c r="L45"/>
      <c r="M45"/>
      <c r="N45" s="62"/>
    </row>
    <row r="46" spans="1:14" ht="15">
      <c r="A46" s="2"/>
      <c r="B46" s="40">
        <f t="shared" si="0"/>
        <v>27</v>
      </c>
      <c r="C46" s="41">
        <f t="shared" si="2"/>
        <v>5</v>
      </c>
      <c r="D46" s="15">
        <f>IF(B46&gt;D$10,0,PMT(C46/(D$12*100),D$12*(D$10-B45),-G45,D$11))*D$12/12</f>
        <v>1169.1800830159505</v>
      </c>
      <c r="E46" s="22">
        <f>D46</f>
        <v>1169.1800830159505</v>
      </c>
      <c r="F46" s="18">
        <f>IF($D$13="y",MAX(E46,D46),E46)</f>
        <v>1169.1800830159505</v>
      </c>
      <c r="G46" s="42">
        <f>IF(B46&gt;D$10,0,-FV(C46/(D$12*100),D$12,-F46*12/D$12,G45))</f>
        <v>39010.513396809394</v>
      </c>
      <c r="H46" s="70">
        <f t="shared" si="4"/>
        <v>0.03</v>
      </c>
      <c r="I46" s="55">
        <f>I45*(1+H46)</f>
        <v>666386.7016710475</v>
      </c>
      <c r="J46" s="69">
        <f>I46-G46</f>
        <v>627376.1882742381</v>
      </c>
      <c r="K46"/>
      <c r="L46"/>
      <c r="M46"/>
      <c r="N46" s="62"/>
    </row>
    <row r="47" spans="1:14" ht="15">
      <c r="A47" s="2"/>
      <c r="B47" s="40">
        <f t="shared" si="0"/>
        <v>28</v>
      </c>
      <c r="C47" s="41">
        <f t="shared" si="2"/>
        <v>5</v>
      </c>
      <c r="D47" s="15">
        <f>IF(B47&gt;D$10,0,PMT(C47/(D$12*100),D$12*(D$10-B46),-G46,D$11))*D$12/12</f>
        <v>1169.1800830159484</v>
      </c>
      <c r="E47" s="22">
        <f>D47</f>
        <v>1169.1800830159484</v>
      </c>
      <c r="F47" s="18">
        <f>IF($D$13="y",MAX(E47,D47),E47)</f>
        <v>1169.1800830159484</v>
      </c>
      <c r="G47" s="42">
        <f>IF(B47&gt;D$10,0,-FV(C47/(D$12*100),D$12,-F47*12/D$12,G46))</f>
        <v>26650.1720165025</v>
      </c>
      <c r="H47" s="70">
        <f t="shared" si="4"/>
        <v>0.03</v>
      </c>
      <c r="I47" s="55">
        <f>I46*(1+H47)</f>
        <v>686378.302721179</v>
      </c>
      <c r="J47" s="69">
        <f>I47-G47</f>
        <v>659728.1307046765</v>
      </c>
      <c r="K47"/>
      <c r="L47"/>
      <c r="M47"/>
      <c r="N47" s="62"/>
    </row>
    <row r="48" spans="1:14" ht="15">
      <c r="A48" s="2"/>
      <c r="B48" s="40">
        <f t="shared" si="0"/>
        <v>29</v>
      </c>
      <c r="C48" s="41">
        <f t="shared" si="2"/>
        <v>5</v>
      </c>
      <c r="D48" s="15">
        <f>IF(B48&gt;D$10,0,PMT(C48/(D$12*100),D$12*(D$10-B47),-G47,D$11))*D$12/12</f>
        <v>1169.180083015946</v>
      </c>
      <c r="E48" s="22">
        <f>D48</f>
        <v>1169.180083015946</v>
      </c>
      <c r="F48" s="18">
        <f>IF($D$13="y",MAX(E48,D48),E48)</f>
        <v>1169.180083015946</v>
      </c>
      <c r="G48" s="42">
        <f>IF(B48&gt;D$10,0,-FV(C48/(D$12*100),D$12,-F48*12/D$12,G47))</f>
        <v>13657.452112713008</v>
      </c>
      <c r="H48" s="70">
        <f t="shared" si="4"/>
        <v>0.03</v>
      </c>
      <c r="I48" s="55">
        <f>I47*(1+H48)</f>
        <v>706969.6518028143</v>
      </c>
      <c r="J48" s="69">
        <f>I48-G48</f>
        <v>693312.1996901013</v>
      </c>
      <c r="K48"/>
      <c r="L48"/>
      <c r="M48"/>
      <c r="N48" s="62"/>
    </row>
    <row r="49" spans="1:14" ht="15.75" thickBot="1">
      <c r="A49" s="2"/>
      <c r="B49" s="45">
        <f t="shared" si="0"/>
        <v>30</v>
      </c>
      <c r="C49" s="46">
        <f t="shared" si="2"/>
        <v>5</v>
      </c>
      <c r="D49" s="47">
        <f>IF(B49&gt;D$10,0,PMT(C49/(D$12*100),D$12*(D$10-B48),-G48,D$11))*D$12/12</f>
        <v>1169.1800830159407</v>
      </c>
      <c r="E49" s="48">
        <f>D49</f>
        <v>1169.1800830159407</v>
      </c>
      <c r="F49" s="49">
        <f>IF($D$13="y",MAX(E49,D49),E49)</f>
        <v>1169.1800830159407</v>
      </c>
      <c r="G49" s="50">
        <f>IF(B49&gt;D$10,0,-FV(C49/(D$12*100),D$12,-F49*12/D$12,G48))</f>
        <v>-6.366462912410498E-11</v>
      </c>
      <c r="H49" s="56">
        <f t="shared" si="4"/>
        <v>0.03</v>
      </c>
      <c r="I49" s="57">
        <f>I48*(1+H49)</f>
        <v>728178.7413568988</v>
      </c>
      <c r="J49" s="72">
        <f>I49-G49</f>
        <v>728178.7413568989</v>
      </c>
      <c r="K49"/>
      <c r="L49"/>
      <c r="M49"/>
      <c r="N49" s="62"/>
    </row>
    <row r="50" spans="1:14" ht="15.75" thickTop="1">
      <c r="A50" s="2"/>
      <c r="B50" s="60"/>
      <c r="C50" s="41"/>
      <c r="D50" s="15"/>
      <c r="E50" s="22"/>
      <c r="F50" s="23">
        <f>SUM(F20:F49)*12</f>
        <v>400754.02490478626</v>
      </c>
      <c r="G50" s="15"/>
      <c r="H50" s="54"/>
      <c r="I50" s="55"/>
      <c r="J50" s="61"/>
      <c r="K50"/>
      <c r="L50"/>
      <c r="M50"/>
      <c r="N50" s="62"/>
    </row>
    <row r="51" spans="1:14" ht="15">
      <c r="A51" s="2"/>
      <c r="B51" s="2"/>
      <c r="D51" s="2"/>
      <c r="E51" s="8"/>
      <c r="F51" s="24" t="s">
        <v>12</v>
      </c>
      <c r="G51" s="9"/>
      <c r="H51" s="9"/>
      <c r="I51" s="9"/>
      <c r="J51"/>
      <c r="K51"/>
      <c r="L51"/>
      <c r="M51"/>
      <c r="N51" s="2"/>
    </row>
    <row r="52" spans="7:9" ht="12.75" customHeight="1">
      <c r="G52" s="10"/>
      <c r="H52" s="10"/>
      <c r="I52" s="10"/>
    </row>
    <row r="53" spans="2:19" ht="15">
      <c r="B53" s="86" t="s">
        <v>36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/>
      <c r="O53"/>
      <c r="P53"/>
      <c r="Q53"/>
      <c r="R53"/>
      <c r="S53"/>
    </row>
    <row r="54" spans="7:9" ht="12.75" customHeight="1">
      <c r="G54" s="10"/>
      <c r="H54" s="10"/>
      <c r="I54" s="10"/>
    </row>
    <row r="55" spans="7:9" ht="12.75" customHeight="1">
      <c r="G55" s="10"/>
      <c r="H55" s="10"/>
      <c r="I55" s="10"/>
    </row>
    <row r="56" spans="7:9" ht="12.75" customHeight="1">
      <c r="G56" s="10"/>
      <c r="H56" s="10"/>
      <c r="I56" s="10"/>
    </row>
    <row r="57" spans="7:9" ht="12.75" customHeight="1">
      <c r="G57" s="10"/>
      <c r="H57" s="10"/>
      <c r="I57" s="10"/>
    </row>
    <row r="58" spans="7:9" ht="12.75" customHeight="1">
      <c r="G58" s="10"/>
      <c r="H58" s="10"/>
      <c r="I58" s="10"/>
    </row>
    <row r="59" spans="7:9" ht="12.75" customHeight="1">
      <c r="G59" s="10"/>
      <c r="H59" s="10"/>
      <c r="I59" s="10"/>
    </row>
    <row r="60" spans="7:9" ht="12.75" customHeight="1">
      <c r="G60" s="10"/>
      <c r="H60" s="10"/>
      <c r="I60" s="10"/>
    </row>
    <row r="61" spans="7:9" ht="12.75" customHeight="1">
      <c r="G61" s="10"/>
      <c r="H61" s="10"/>
      <c r="I61" s="10"/>
    </row>
    <row r="62" spans="7:9" ht="12.75" customHeight="1">
      <c r="G62" s="10"/>
      <c r="H62" s="10"/>
      <c r="I62" s="10"/>
    </row>
    <row r="63" spans="7:9" ht="12.75" customHeight="1">
      <c r="G63" s="10"/>
      <c r="H63" s="10"/>
      <c r="I63" s="10"/>
    </row>
  </sheetData>
  <sheetProtection password="9833" sheet="1" objects="1" scenarios="1"/>
  <mergeCells count="1">
    <mergeCell ref="B53:M53"/>
  </mergeCells>
  <printOptions/>
  <pageMargins left="0.75" right="0.75" top="1" bottom="1" header="0.5" footer="0.5"/>
  <pageSetup fitToHeight="1" fitToWidth="1" horizontalDpi="300" verticalDpi="300" orientation="landscape" paperSize="9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Kelly</dc:creator>
  <cp:keywords/>
  <dc:description/>
  <cp:lastModifiedBy>Danny Peacock</cp:lastModifiedBy>
  <cp:lastPrinted>2001-09-24T16:57:57Z</cp:lastPrinted>
  <dcterms:created xsi:type="dcterms:W3CDTF">2000-06-29T10:31:24Z</dcterms:created>
  <dcterms:modified xsi:type="dcterms:W3CDTF">2014-12-17T13:19:36Z</dcterms:modified>
  <cp:category/>
  <cp:version/>
  <cp:contentType/>
  <cp:contentStatus/>
</cp:coreProperties>
</file>